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C610F36B-ABE0-4978-8E01-B8ADA97DF1FF}" xr6:coauthVersionLast="47" xr6:coauthVersionMax="47" xr10:uidLastSave="{00000000-0000-0000-0000-000000000000}"/>
  <bookViews>
    <workbookView xWindow="-120" yWindow="-120" windowWidth="20730" windowHeight="11040" tabRatio="705" activeTab="2" xr2:uid="{00000000-000D-0000-FFFF-FFFF00000000}"/>
  </bookViews>
  <sheets>
    <sheet name="62_QT" sheetId="1" r:id="rId1"/>
    <sheet name="63_QT" sheetId="2" r:id="rId2"/>
    <sheet name="64_QT " sheetId="3" r:id="rId3"/>
    <sheet name="65_QT" sheetId="4" r:id="rId4"/>
    <sheet name="66_QT " sheetId="16" r:id="rId5"/>
    <sheet name="67_QT" sheetId="6" r:id="rId6"/>
    <sheet name="68_QT" sheetId="22" r:id="rId7"/>
    <sheet name="Bieu53_NQ83 HDND" sheetId="17" state="hidden" r:id="rId8"/>
    <sheet name="Bieu 52_NQ83 HDND" sheetId="18" state="hidden" r:id="rId9"/>
    <sheet name="Bieu 54_NQ83 HDND" sheetId="19" state="hidden" r:id="rId10"/>
  </sheets>
  <externalReferences>
    <externalReference r:id="rId11"/>
    <externalReference r:id="rId12"/>
  </externalReferences>
  <definedNames>
    <definedName name="_________a1" localSheetId="6" hidden="1">{"'Sheet1'!$L$16"}</definedName>
    <definedName name="_________a1" hidden="1">{"'Sheet1'!$L$16"}</definedName>
    <definedName name="_________PA3" localSheetId="6" hidden="1">{"'Sheet1'!$L$16"}</definedName>
    <definedName name="_________PA3" hidden="1">{"'Sheet1'!$L$16"}</definedName>
    <definedName name="_______a1" localSheetId="6" hidden="1">{"'Sheet1'!$L$16"}</definedName>
    <definedName name="_______a1" hidden="1">{"'Sheet1'!$L$16"}</definedName>
    <definedName name="_______PA3" localSheetId="6" hidden="1">{"'Sheet1'!$L$16"}</definedName>
    <definedName name="_______PA3" hidden="1">{"'Sheet1'!$L$16"}</definedName>
    <definedName name="______a1" localSheetId="6" hidden="1">{"'Sheet1'!$L$16"}</definedName>
    <definedName name="______a1" hidden="1">{"'Sheet1'!$L$16"}</definedName>
    <definedName name="______h1" localSheetId="6" hidden="1">{"'Sheet1'!$L$16"}</definedName>
    <definedName name="______h1" hidden="1">{"'Sheet1'!$L$16"}</definedName>
    <definedName name="______h10" localSheetId="6" hidden="1">{#N/A,#N/A,FALSE,"Chi tiÆt"}</definedName>
    <definedName name="______h10" hidden="1">{#N/A,#N/A,FALSE,"Chi tiÆt"}</definedName>
    <definedName name="______h2" localSheetId="6" hidden="1">{"'Sheet1'!$L$16"}</definedName>
    <definedName name="______h2" hidden="1">{"'Sheet1'!$L$16"}</definedName>
    <definedName name="______h3" localSheetId="6" hidden="1">{"'Sheet1'!$L$16"}</definedName>
    <definedName name="______h3" hidden="1">{"'Sheet1'!$L$16"}</definedName>
    <definedName name="______h5" localSheetId="6" hidden="1">{"'Sheet1'!$L$16"}</definedName>
    <definedName name="______h5" hidden="1">{"'Sheet1'!$L$16"}</definedName>
    <definedName name="______h6" localSheetId="6" hidden="1">{"'Sheet1'!$L$16"}</definedName>
    <definedName name="______h6" hidden="1">{"'Sheet1'!$L$16"}</definedName>
    <definedName name="______h7" localSheetId="6" hidden="1">{"'Sheet1'!$L$16"}</definedName>
    <definedName name="______h7" hidden="1">{"'Sheet1'!$L$16"}</definedName>
    <definedName name="______h8" localSheetId="6" hidden="1">{"'Sheet1'!$L$16"}</definedName>
    <definedName name="______h8" hidden="1">{"'Sheet1'!$L$16"}</definedName>
    <definedName name="______h9" localSheetId="6" hidden="1">{"'Sheet1'!$L$16"}</definedName>
    <definedName name="______h9" hidden="1">{"'Sheet1'!$L$16"}</definedName>
    <definedName name="______NSO2" localSheetId="6" hidden="1">{"'Sheet1'!$L$16"}</definedName>
    <definedName name="______NSO2" hidden="1">{"'Sheet1'!$L$16"}</definedName>
    <definedName name="______PA3" localSheetId="6" hidden="1">{"'Sheet1'!$L$16"}</definedName>
    <definedName name="______PA3" hidden="1">{"'Sheet1'!$L$16"}</definedName>
    <definedName name="______vl2" localSheetId="6" hidden="1">{"'Sheet1'!$L$16"}</definedName>
    <definedName name="______vl2" hidden="1">{"'Sheet1'!$L$16"}</definedName>
    <definedName name="_____a1" localSheetId="6" hidden="1">{"'Sheet1'!$L$16"}</definedName>
    <definedName name="_____a1" hidden="1">{"'Sheet1'!$L$16"}</definedName>
    <definedName name="_____h1" localSheetId="6" hidden="1">{"'Sheet1'!$L$16"}</definedName>
    <definedName name="_____h1" hidden="1">{"'Sheet1'!$L$16"}</definedName>
    <definedName name="_____h10" localSheetId="6" hidden="1">{#N/A,#N/A,FALSE,"Chi tiÆt"}</definedName>
    <definedName name="_____h10" hidden="1">{#N/A,#N/A,FALSE,"Chi tiÆt"}</definedName>
    <definedName name="_____h2" localSheetId="6" hidden="1">{"'Sheet1'!$L$16"}</definedName>
    <definedName name="_____h2" hidden="1">{"'Sheet1'!$L$16"}</definedName>
    <definedName name="_____h3" localSheetId="6" hidden="1">{"'Sheet1'!$L$16"}</definedName>
    <definedName name="_____h3" hidden="1">{"'Sheet1'!$L$16"}</definedName>
    <definedName name="_____h5" localSheetId="6" hidden="1">{"'Sheet1'!$L$16"}</definedName>
    <definedName name="_____h5" hidden="1">{"'Sheet1'!$L$16"}</definedName>
    <definedName name="_____h6" localSheetId="6" hidden="1">{"'Sheet1'!$L$16"}</definedName>
    <definedName name="_____h6" hidden="1">{"'Sheet1'!$L$16"}</definedName>
    <definedName name="_____h7" localSheetId="6" hidden="1">{"'Sheet1'!$L$16"}</definedName>
    <definedName name="_____h7" hidden="1">{"'Sheet1'!$L$16"}</definedName>
    <definedName name="_____h8" localSheetId="6" hidden="1">{"'Sheet1'!$L$16"}</definedName>
    <definedName name="_____h8" hidden="1">{"'Sheet1'!$L$16"}</definedName>
    <definedName name="_____h9" localSheetId="6" hidden="1">{"'Sheet1'!$L$16"}</definedName>
    <definedName name="_____h9" hidden="1">{"'Sheet1'!$L$16"}</definedName>
    <definedName name="_____NSO2" localSheetId="6" hidden="1">{"'Sheet1'!$L$16"}</definedName>
    <definedName name="_____NSO2" hidden="1">{"'Sheet1'!$L$16"}</definedName>
    <definedName name="_____PA3" localSheetId="6" hidden="1">{"'Sheet1'!$L$16"}</definedName>
    <definedName name="_____PA3" hidden="1">{"'Sheet1'!$L$16"}</definedName>
    <definedName name="_____vl2" localSheetId="6" hidden="1">{"'Sheet1'!$L$16"}</definedName>
    <definedName name="_____vl2" hidden="1">{"'Sheet1'!$L$16"}</definedName>
    <definedName name="____ban2" localSheetId="6" hidden="1">{"'Sheet1'!$L$16"}</definedName>
    <definedName name="____ban2" hidden="1">{"'Sheet1'!$L$16"}</definedName>
    <definedName name="____cep1" localSheetId="6" hidden="1">{"'Sheet1'!$L$16"}</definedName>
    <definedName name="____cep1" hidden="1">{"'Sheet1'!$L$16"}</definedName>
    <definedName name="____Coc39" localSheetId="6" hidden="1">{"'Sheet1'!$L$16"}</definedName>
    <definedName name="____Coc39" hidden="1">{"'Sheet1'!$L$16"}</definedName>
    <definedName name="____Goi8" localSheetId="6" hidden="1">{"'Sheet1'!$L$16"}</definedName>
    <definedName name="____Goi8" hidden="1">{"'Sheet1'!$L$16"}</definedName>
    <definedName name="____h1" localSheetId="6" hidden="1">{"'Sheet1'!$L$16"}</definedName>
    <definedName name="____h1" hidden="1">{"'Sheet1'!$L$16"}</definedName>
    <definedName name="____h10" localSheetId="6" hidden="1">{#N/A,#N/A,FALSE,"Chi tiÆt"}</definedName>
    <definedName name="____h10" hidden="1">{#N/A,#N/A,FALSE,"Chi tiÆt"}</definedName>
    <definedName name="____h2" localSheetId="6" hidden="1">{"'Sheet1'!$L$16"}</definedName>
    <definedName name="____h2" hidden="1">{"'Sheet1'!$L$16"}</definedName>
    <definedName name="____h3" localSheetId="6" hidden="1">{"'Sheet1'!$L$16"}</definedName>
    <definedName name="____h3" hidden="1">{"'Sheet1'!$L$16"}</definedName>
    <definedName name="____h5" localSheetId="6" hidden="1">{"'Sheet1'!$L$16"}</definedName>
    <definedName name="____h5" hidden="1">{"'Sheet1'!$L$16"}</definedName>
    <definedName name="____h6" localSheetId="6" hidden="1">{"'Sheet1'!$L$16"}</definedName>
    <definedName name="____h6" hidden="1">{"'Sheet1'!$L$16"}</definedName>
    <definedName name="____h7" localSheetId="6" hidden="1">{"'Sheet1'!$L$16"}</definedName>
    <definedName name="____h7" hidden="1">{"'Sheet1'!$L$16"}</definedName>
    <definedName name="____h8" localSheetId="6" hidden="1">{"'Sheet1'!$L$16"}</definedName>
    <definedName name="____h8" hidden="1">{"'Sheet1'!$L$16"}</definedName>
    <definedName name="____h9" localSheetId="6" hidden="1">{"'Sheet1'!$L$16"}</definedName>
    <definedName name="____h9" hidden="1">{"'Sheet1'!$L$16"}</definedName>
    <definedName name="____HUY1" localSheetId="6" hidden="1">{"'Sheet1'!$L$16"}</definedName>
    <definedName name="____HUY1" hidden="1">{"'Sheet1'!$L$16"}</definedName>
    <definedName name="____HUY2" localSheetId="6" hidden="1">{"'Sheet1'!$L$16"}</definedName>
    <definedName name="____HUY2" hidden="1">{"'Sheet1'!$L$16"}</definedName>
    <definedName name="____Lan1" localSheetId="6" hidden="1">{"'Sheet1'!$L$16"}</definedName>
    <definedName name="____Lan1" hidden="1">{"'Sheet1'!$L$16"}</definedName>
    <definedName name="____LAN3" localSheetId="6" hidden="1">{"'Sheet1'!$L$16"}</definedName>
    <definedName name="____LAN3" hidden="1">{"'Sheet1'!$L$16"}</definedName>
    <definedName name="____lk2" localSheetId="6" hidden="1">{"'Sheet1'!$L$16"}</definedName>
    <definedName name="____lk2" hidden="1">{"'Sheet1'!$L$16"}</definedName>
    <definedName name="____NSO2" localSheetId="6" hidden="1">{"'Sheet1'!$L$16"}</definedName>
    <definedName name="____NSO2" hidden="1">{"'Sheet1'!$L$16"}</definedName>
    <definedName name="____PA3" localSheetId="6" hidden="1">{"'Sheet1'!$L$16"}</definedName>
    <definedName name="____PA3" hidden="1">{"'Sheet1'!$L$16"}</definedName>
    <definedName name="____Pl2" localSheetId="6" hidden="1">{"'Sheet1'!$L$16"}</definedName>
    <definedName name="____Pl2" hidden="1">{"'Sheet1'!$L$16"}</definedName>
    <definedName name="____Tru21" localSheetId="6" hidden="1">{"'Sheet1'!$L$16"}</definedName>
    <definedName name="____Tru21" hidden="1">{"'Sheet1'!$L$16"}</definedName>
    <definedName name="____tt3" localSheetId="6" hidden="1">{"'Sheet1'!$L$16"}</definedName>
    <definedName name="____tt3" hidden="1">{"'Sheet1'!$L$16"}</definedName>
    <definedName name="____TT31" localSheetId="6" hidden="1">{"'Sheet1'!$L$16"}</definedName>
    <definedName name="____TT31" hidden="1">{"'Sheet1'!$L$16"}</definedName>
    <definedName name="____vl2" localSheetId="6" hidden="1">{"'Sheet1'!$L$16"}</definedName>
    <definedName name="____vl2" hidden="1">{"'Sheet1'!$L$16"}</definedName>
    <definedName name="____VM2" localSheetId="6" hidden="1">{"'Sheet1'!$L$16"}</definedName>
    <definedName name="____VM2" hidden="1">{"'Sheet1'!$L$16"}</definedName>
    <definedName name="___a1" localSheetId="6" hidden="1">{"'Sheet1'!$L$16"}</definedName>
    <definedName name="___a1" hidden="1">{"'Sheet1'!$L$16"}</definedName>
    <definedName name="___ban2" localSheetId="6" hidden="1">{"'Sheet1'!$L$16"}</definedName>
    <definedName name="___ban2" hidden="1">{"'Sheet1'!$L$16"}</definedName>
    <definedName name="___cep1" localSheetId="6" hidden="1">{"'Sheet1'!$L$16"}</definedName>
    <definedName name="___cep1" hidden="1">{"'Sheet1'!$L$16"}</definedName>
    <definedName name="___Coc39" localSheetId="6" hidden="1">{"'Sheet1'!$L$16"}</definedName>
    <definedName name="___Coc39" hidden="1">{"'Sheet1'!$L$16"}</definedName>
    <definedName name="___Goi8" localSheetId="6" hidden="1">{"'Sheet1'!$L$16"}</definedName>
    <definedName name="___Goi8" hidden="1">{"'Sheet1'!$L$16"}</definedName>
    <definedName name="___h1" localSheetId="6" hidden="1">{"'Sheet1'!$L$16"}</definedName>
    <definedName name="___h1" hidden="1">{"'Sheet1'!$L$16"}</definedName>
    <definedName name="___h10" localSheetId="6" hidden="1">{#N/A,#N/A,FALSE,"Chi tiÆt"}</definedName>
    <definedName name="___h10" hidden="1">{#N/A,#N/A,FALSE,"Chi tiÆt"}</definedName>
    <definedName name="___h2" localSheetId="6" hidden="1">{"'Sheet1'!$L$16"}</definedName>
    <definedName name="___h2" hidden="1">{"'Sheet1'!$L$16"}</definedName>
    <definedName name="___h3" localSheetId="6" hidden="1">{"'Sheet1'!$L$16"}</definedName>
    <definedName name="___h3" hidden="1">{"'Sheet1'!$L$16"}</definedName>
    <definedName name="___h5" localSheetId="6" hidden="1">{"'Sheet1'!$L$16"}</definedName>
    <definedName name="___h5" hidden="1">{"'Sheet1'!$L$16"}</definedName>
    <definedName name="___h6" localSheetId="6" hidden="1">{"'Sheet1'!$L$16"}</definedName>
    <definedName name="___h6" hidden="1">{"'Sheet1'!$L$16"}</definedName>
    <definedName name="___h7" localSheetId="6" hidden="1">{"'Sheet1'!$L$16"}</definedName>
    <definedName name="___h7" hidden="1">{"'Sheet1'!$L$16"}</definedName>
    <definedName name="___h8" localSheetId="6" hidden="1">{"'Sheet1'!$L$16"}</definedName>
    <definedName name="___h8" hidden="1">{"'Sheet1'!$L$16"}</definedName>
    <definedName name="___h9" localSheetId="6" hidden="1">{"'Sheet1'!$L$16"}</definedName>
    <definedName name="___h9" hidden="1">{"'Sheet1'!$L$16"}</definedName>
    <definedName name="___HUY1" localSheetId="6" hidden="1">{"'Sheet1'!$L$16"}</definedName>
    <definedName name="___HUY1" hidden="1">{"'Sheet1'!$L$16"}</definedName>
    <definedName name="___HUY2" localSheetId="6" hidden="1">{"'Sheet1'!$L$16"}</definedName>
    <definedName name="___HUY2" hidden="1">{"'Sheet1'!$L$16"}</definedName>
    <definedName name="___Lan1" localSheetId="6" hidden="1">{"'Sheet1'!$L$16"}</definedName>
    <definedName name="___Lan1" hidden="1">{"'Sheet1'!$L$16"}</definedName>
    <definedName name="___LAN3" localSheetId="6" hidden="1">{"'Sheet1'!$L$16"}</definedName>
    <definedName name="___LAN3" hidden="1">{"'Sheet1'!$L$16"}</definedName>
    <definedName name="___lk2" localSheetId="6" hidden="1">{"'Sheet1'!$L$16"}</definedName>
    <definedName name="___lk2" hidden="1">{"'Sheet1'!$L$16"}</definedName>
    <definedName name="___NSO2" localSheetId="6" hidden="1">{"'Sheet1'!$L$16"}</definedName>
    <definedName name="___NSO2" hidden="1">{"'Sheet1'!$L$16"}</definedName>
    <definedName name="___PA3" localSheetId="6" hidden="1">{"'Sheet1'!$L$16"}</definedName>
    <definedName name="___PA3" hidden="1">{"'Sheet1'!$L$16"}</definedName>
    <definedName name="___Pl2" localSheetId="6" hidden="1">{"'Sheet1'!$L$16"}</definedName>
    <definedName name="___Pl2" hidden="1">{"'Sheet1'!$L$16"}</definedName>
    <definedName name="___Tru21" localSheetId="6" hidden="1">{"'Sheet1'!$L$16"}</definedName>
    <definedName name="___Tru21" hidden="1">{"'Sheet1'!$L$16"}</definedName>
    <definedName name="___tt3" localSheetId="6" hidden="1">{"'Sheet1'!$L$16"}</definedName>
    <definedName name="___tt3" hidden="1">{"'Sheet1'!$L$16"}</definedName>
    <definedName name="___TT31" localSheetId="6" hidden="1">{"'Sheet1'!$L$16"}</definedName>
    <definedName name="___TT31" hidden="1">{"'Sheet1'!$L$16"}</definedName>
    <definedName name="___vl2" localSheetId="6" hidden="1">{"'Sheet1'!$L$16"}</definedName>
    <definedName name="___vl2" hidden="1">{"'Sheet1'!$L$16"}</definedName>
    <definedName name="___VM2" localSheetId="6" hidden="1">{"'Sheet1'!$L$16"}</definedName>
    <definedName name="___VM2" hidden="1">{"'Sheet1'!$L$16"}</definedName>
    <definedName name="__a1" localSheetId="6" hidden="1">{"'Sheet1'!$L$16"}</definedName>
    <definedName name="__a1" hidden="1">{"'Sheet1'!$L$16"}</definedName>
    <definedName name="__ban2" localSheetId="6" hidden="1">{"'Sheet1'!$L$16"}</definedName>
    <definedName name="__ban2" hidden="1">{"'Sheet1'!$L$16"}</definedName>
    <definedName name="__cep1" localSheetId="6" hidden="1">{"'Sheet1'!$L$16"}</definedName>
    <definedName name="__cep1" hidden="1">{"'Sheet1'!$L$16"}</definedName>
    <definedName name="__Coc39" localSheetId="6" hidden="1">{"'Sheet1'!$L$16"}</definedName>
    <definedName name="__Coc39" hidden="1">{"'Sheet1'!$L$16"}</definedName>
    <definedName name="__Goi8" localSheetId="6" hidden="1">{"'Sheet1'!$L$16"}</definedName>
    <definedName name="__Goi8" hidden="1">{"'Sheet1'!$L$16"}</definedName>
    <definedName name="__h1" localSheetId="6" hidden="1">{"'Sheet1'!$L$16"}</definedName>
    <definedName name="__h1" hidden="1">{"'Sheet1'!$L$16"}</definedName>
    <definedName name="__h10" localSheetId="6" hidden="1">{#N/A,#N/A,FALSE,"Chi tiÆt"}</definedName>
    <definedName name="__h10" hidden="1">{#N/A,#N/A,FALSE,"Chi tiÆt"}</definedName>
    <definedName name="__h2" localSheetId="6" hidden="1">{"'Sheet1'!$L$16"}</definedName>
    <definedName name="__h2" hidden="1">{"'Sheet1'!$L$16"}</definedName>
    <definedName name="__h3" localSheetId="6" hidden="1">{"'Sheet1'!$L$16"}</definedName>
    <definedName name="__h3" hidden="1">{"'Sheet1'!$L$16"}</definedName>
    <definedName name="__h5" localSheetId="6" hidden="1">{"'Sheet1'!$L$16"}</definedName>
    <definedName name="__h5" hidden="1">{"'Sheet1'!$L$16"}</definedName>
    <definedName name="__h6" localSheetId="6" hidden="1">{"'Sheet1'!$L$16"}</definedName>
    <definedName name="__h6" hidden="1">{"'Sheet1'!$L$16"}</definedName>
    <definedName name="__h7" localSheetId="6" hidden="1">{"'Sheet1'!$L$16"}</definedName>
    <definedName name="__h7" hidden="1">{"'Sheet1'!$L$16"}</definedName>
    <definedName name="__h8" localSheetId="6" hidden="1">{"'Sheet1'!$L$16"}</definedName>
    <definedName name="__h8" hidden="1">{"'Sheet1'!$L$16"}</definedName>
    <definedName name="__h9" localSheetId="6" hidden="1">{"'Sheet1'!$L$16"}</definedName>
    <definedName name="__h9" hidden="1">{"'Sheet1'!$L$16"}</definedName>
    <definedName name="__HUY1" localSheetId="6" hidden="1">{"'Sheet1'!$L$16"}</definedName>
    <definedName name="__HUY1" hidden="1">{"'Sheet1'!$L$16"}</definedName>
    <definedName name="__HUY2" localSheetId="6" hidden="1">{"'Sheet1'!$L$16"}</definedName>
    <definedName name="__HUY2" hidden="1">{"'Sheet1'!$L$16"}</definedName>
    <definedName name="__Lan1" localSheetId="6" hidden="1">{"'Sheet1'!$L$16"}</definedName>
    <definedName name="__Lan1" hidden="1">{"'Sheet1'!$L$16"}</definedName>
    <definedName name="__LAN3" localSheetId="6" hidden="1">{"'Sheet1'!$L$16"}</definedName>
    <definedName name="__LAN3" hidden="1">{"'Sheet1'!$L$16"}</definedName>
    <definedName name="__lk2" localSheetId="6" hidden="1">{"'Sheet1'!$L$16"}</definedName>
    <definedName name="__lk2" hidden="1">{"'Sheet1'!$L$16"}</definedName>
    <definedName name="__NSO2" localSheetId="6" hidden="1">{"'Sheet1'!$L$16"}</definedName>
    <definedName name="__NSO2" hidden="1">{"'Sheet1'!$L$16"}</definedName>
    <definedName name="__PA3" localSheetId="6" hidden="1">{"'Sheet1'!$L$16"}</definedName>
    <definedName name="__PA3" hidden="1">{"'Sheet1'!$L$16"}</definedName>
    <definedName name="__Pl2" localSheetId="6" hidden="1">{"'Sheet1'!$L$16"}</definedName>
    <definedName name="__Pl2" hidden="1">{"'Sheet1'!$L$16"}</definedName>
    <definedName name="__Tru21" localSheetId="6" hidden="1">{"'Sheet1'!$L$16"}</definedName>
    <definedName name="__Tru21" hidden="1">{"'Sheet1'!$L$16"}</definedName>
    <definedName name="__tt3" localSheetId="6" hidden="1">{"'Sheet1'!$L$16"}</definedName>
    <definedName name="__tt3" hidden="1">{"'Sheet1'!$L$16"}</definedName>
    <definedName name="__TT31" localSheetId="6" hidden="1">{"'Sheet1'!$L$16"}</definedName>
    <definedName name="__TT31" hidden="1">{"'Sheet1'!$L$16"}</definedName>
    <definedName name="__vl2" localSheetId="6" hidden="1">{"'Sheet1'!$L$16"}</definedName>
    <definedName name="__vl2" hidden="1">{"'Sheet1'!$L$16"}</definedName>
    <definedName name="__VM2" localSheetId="6" hidden="1">{"'Sheet1'!$L$16"}</definedName>
    <definedName name="__VM2" hidden="1">{"'Sheet1'!$L$16"}</definedName>
    <definedName name="_ban2" localSheetId="6" hidden="1">{"'Sheet1'!$L$16"}</definedName>
    <definedName name="_ban2" hidden="1">{"'Sheet1'!$L$16"}</definedName>
    <definedName name="_cep1" localSheetId="6" hidden="1">{"'Sheet1'!$L$16"}</definedName>
    <definedName name="_cep1" hidden="1">{"'Sheet1'!$L$16"}</definedName>
    <definedName name="_Coc39" localSheetId="6" hidden="1">{"'Sheet1'!$L$16"}</definedName>
    <definedName name="_Coc39" hidden="1">{"'Sheet1'!$L$16"}</definedName>
    <definedName name="_Goi8" localSheetId="6" hidden="1">{"'Sheet1'!$L$16"}</definedName>
    <definedName name="_Goi8" hidden="1">{"'Sheet1'!$L$16"}</definedName>
    <definedName name="_h1" localSheetId="6" hidden="1">{"'Sheet1'!$L$16"}</definedName>
    <definedName name="_h1" hidden="1">{"'Sheet1'!$L$16"}</definedName>
    <definedName name="_h10" localSheetId="6" hidden="1">{#N/A,#N/A,FALSE,"Chi tiÆt"}</definedName>
    <definedName name="_h10" hidden="1">{#N/A,#N/A,FALSE,"Chi tiÆt"}</definedName>
    <definedName name="_h2" localSheetId="6" hidden="1">{"'Sheet1'!$L$16"}</definedName>
    <definedName name="_h2" hidden="1">{"'Sheet1'!$L$16"}</definedName>
    <definedName name="_h3" localSheetId="6" hidden="1">{"'Sheet1'!$L$16"}</definedName>
    <definedName name="_h3" hidden="1">{"'Sheet1'!$L$16"}</definedName>
    <definedName name="_h5" localSheetId="6" hidden="1">{"'Sheet1'!$L$16"}</definedName>
    <definedName name="_h5" hidden="1">{"'Sheet1'!$L$16"}</definedName>
    <definedName name="_h6" localSheetId="6" hidden="1">{"'Sheet1'!$L$16"}</definedName>
    <definedName name="_h6" hidden="1">{"'Sheet1'!$L$16"}</definedName>
    <definedName name="_h7" localSheetId="6" hidden="1">{"'Sheet1'!$L$16"}</definedName>
    <definedName name="_h7" hidden="1">{"'Sheet1'!$L$16"}</definedName>
    <definedName name="_h8" localSheetId="6" hidden="1">{"'Sheet1'!$L$16"}</definedName>
    <definedName name="_h8" hidden="1">{"'Sheet1'!$L$16"}</definedName>
    <definedName name="_h9" localSheetId="6" hidden="1">{"'Sheet1'!$L$16"}</definedName>
    <definedName name="_h9" hidden="1">{"'Sheet1'!$L$16"}</definedName>
    <definedName name="_HUY1" localSheetId="6" hidden="1">{"'Sheet1'!$L$16"}</definedName>
    <definedName name="_HUY1" hidden="1">{"'Sheet1'!$L$16"}</definedName>
    <definedName name="_HUY2" localSheetId="6" hidden="1">{"'Sheet1'!$L$16"}</definedName>
    <definedName name="_HUY2" hidden="1">{"'Sheet1'!$L$16"}</definedName>
    <definedName name="_Key1" localSheetId="6" hidden="1">#REF!</definedName>
    <definedName name="_Key1" hidden="1">#REF!</definedName>
    <definedName name="_Key2" localSheetId="6" hidden="1">#REF!</definedName>
    <definedName name="_Key2" hidden="1">#REF!</definedName>
    <definedName name="_Lan1" localSheetId="6" hidden="1">{"'Sheet1'!$L$16"}</definedName>
    <definedName name="_Lan1" hidden="1">{"'Sheet1'!$L$16"}</definedName>
    <definedName name="_LAN3" localSheetId="6" hidden="1">{"'Sheet1'!$L$16"}</definedName>
    <definedName name="_LAN3" hidden="1">{"'Sheet1'!$L$16"}</definedName>
    <definedName name="_lk2" localSheetId="6" hidden="1">{"'Sheet1'!$L$16"}</definedName>
    <definedName name="_lk2" hidden="1">{"'Sheet1'!$L$16"}</definedName>
    <definedName name="_NSO2" localSheetId="6" hidden="1">{"'Sheet1'!$L$16"}</definedName>
    <definedName name="_NSO2" hidden="1">{"'Sheet1'!$L$16"}</definedName>
    <definedName name="_Order1" hidden="1">255</definedName>
    <definedName name="_Order2" hidden="1">255</definedName>
    <definedName name="_PA3" localSheetId="6" hidden="1">{"'Sheet1'!$L$16"}</definedName>
    <definedName name="_PA3" hidden="1">{"'Sheet1'!$L$16"}</definedName>
    <definedName name="_Pl2" localSheetId="6" hidden="1">{"'Sheet1'!$L$16"}</definedName>
    <definedName name="_Pl2" hidden="1">{"'Sheet1'!$L$16"}</definedName>
    <definedName name="_Sort" localSheetId="6" hidden="1">#REF!</definedName>
    <definedName name="_Sort" hidden="1">#REF!</definedName>
    <definedName name="_Tru21" localSheetId="6" hidden="1">{"'Sheet1'!$L$16"}</definedName>
    <definedName name="_Tru21" hidden="1">{"'Sheet1'!$L$16"}</definedName>
    <definedName name="_tt3" localSheetId="6" hidden="1">{"'Sheet1'!$L$16"}</definedName>
    <definedName name="_tt3" hidden="1">{"'Sheet1'!$L$16"}</definedName>
    <definedName name="_TT31" localSheetId="6" hidden="1">{"'Sheet1'!$L$16"}</definedName>
    <definedName name="_TT31" hidden="1">{"'Sheet1'!$L$16"}</definedName>
    <definedName name="_vl2" localSheetId="6" hidden="1">{"'Sheet1'!$L$16"}</definedName>
    <definedName name="_vl2" hidden="1">{"'Sheet1'!$L$16"}</definedName>
    <definedName name="_VM2" localSheetId="6" hidden="1">{"'Sheet1'!$L$16"}</definedName>
    <definedName name="_VM2" hidden="1">{"'Sheet1'!$L$16"}</definedName>
    <definedName name="â" localSheetId="6" hidden="1">{"'Sheet1'!$L$16"}</definedName>
    <definedName name="â" hidden="1">{"'Sheet1'!$L$16"}</definedName>
    <definedName name="AccessDatabase" hidden="1">"C:\My Documents\LeBinh\Xls\VP Cong ty\FORM.mdb"</definedName>
    <definedName name="ADADADD" localSheetId="6" hidden="1">{"'Sheet1'!$L$16"}</definedName>
    <definedName name="ADADADD" hidden="1">{"'Sheet1'!$L$16"}</definedName>
    <definedName name="anscount" hidden="1">6</definedName>
    <definedName name="ATGT" localSheetId="6" hidden="1">{"'Sheet1'!$L$16"}</definedName>
    <definedName name="ATGT" hidden="1">{"'Sheet1'!$L$16"}</definedName>
    <definedName name="b" localSheetId="6" hidden="1">{"'Sheet1'!$L$16"}</definedName>
    <definedName name="b" hidden="1">{"'Sheet1'!$L$16"}</definedName>
    <definedName name="BCBo" localSheetId="6" hidden="1">{"'Sheet1'!$L$16"}</definedName>
    <definedName name="BCBo" hidden="1">{"'Sheet1'!$L$16"}</definedName>
    <definedName name="btnm3" localSheetId="6" hidden="1">{"'Sheet1'!$L$16"}</definedName>
    <definedName name="btnm3" hidden="1">{"'Sheet1'!$L$16"}</definedName>
    <definedName name="chitietbgiang2" localSheetId="6" hidden="1">{"'Sheet1'!$L$16"}</definedName>
    <definedName name="chitietbgiang2" hidden="1">{"'Sheet1'!$L$16"}</definedName>
    <definedName name="Coc_60" localSheetId="6" hidden="1">{"'Sheet1'!$L$16"}</definedName>
    <definedName name="Coc_60" hidden="1">{"'Sheet1'!$L$16"}</definedName>
    <definedName name="Code" localSheetId="6" hidden="1">#REF!</definedName>
    <definedName name="Code" hidden="1">#REF!</definedName>
    <definedName name="CTCT1" localSheetId="6" hidden="1">{"'Sheet1'!$L$16"}</definedName>
    <definedName name="CTCT1" hidden="1">{"'Sheet1'!$L$16"}</definedName>
    <definedName name="d" localSheetId="6" hidden="1">{"'Sheet1'!$L$16"}</definedName>
    <definedName name="d" hidden="1">{"'Sheet1'!$L$16"}</definedName>
    <definedName name="data1" localSheetId="6" hidden="1">#REF!</definedName>
    <definedName name="data1" hidden="1">#REF!</definedName>
    <definedName name="data2" localSheetId="6" hidden="1">#REF!</definedName>
    <definedName name="data2" hidden="1">#REF!</definedName>
    <definedName name="data3" localSheetId="6" hidden="1">#REF!</definedName>
    <definedName name="data3" hidden="1">#REF!</definedName>
    <definedName name="DenDK" localSheetId="6" hidden="1">{"'Sheet1'!$L$16"}</definedName>
    <definedName name="DenDK" hidden="1">{"'Sheet1'!$L$16"}</definedName>
    <definedName name="dfg" localSheetId="6" hidden="1">{"'Sheet1'!$L$16"}</definedName>
    <definedName name="dfg" hidden="1">{"'Sheet1'!$L$16"}</definedName>
    <definedName name="dgctp2" localSheetId="6" hidden="1">{"'Sheet1'!$L$16"}</definedName>
    <definedName name="dgctp2" hidden="1">{"'Sheet1'!$L$16"}</definedName>
    <definedName name="Discount" localSheetId="6" hidden="1">#REF!</definedName>
    <definedName name="Discount" hidden="1">#REF!</definedName>
    <definedName name="display_area_2" localSheetId="6" hidden="1">#REF!</definedName>
    <definedName name="display_area_2" hidden="1">#REF!</definedName>
    <definedName name="dsh" localSheetId="6" hidden="1">#REF!</definedName>
    <definedName name="dsh" hidden="1">#REF!</definedName>
    <definedName name="DUCANH" localSheetId="6" hidden="1">{"'Sheet1'!$L$16"}</definedName>
    <definedName name="DUCANH" hidden="1">{"'Sheet1'!$L$16"}</definedName>
    <definedName name="E" localSheetId="6" hidden="1">{#N/A,#N/A,FALSE,"BN (2)"}</definedName>
    <definedName name="E" hidden="1">{#N/A,#N/A,FALSE,"BN (2)"}</definedName>
    <definedName name="f" localSheetId="6" hidden="1">{"'Sheet1'!$L$16"}</definedName>
    <definedName name="f" hidden="1">{"'Sheet1'!$L$16"}</definedName>
    <definedName name="FCode" localSheetId="6" hidden="1">#REF!</definedName>
    <definedName name="FCode" hidden="1">#REF!</definedName>
    <definedName name="fsdfdsf" localSheetId="6" hidden="1">{"'Sheet1'!$L$16"}</definedName>
    <definedName name="fsdfdsf" hidden="1">{"'Sheet1'!$L$16"}</definedName>
    <definedName name="g" localSheetId="6" hidden="1">{"'Sheet1'!$L$16"}</definedName>
    <definedName name="g" hidden="1">{"'Sheet1'!$L$16"}</definedName>
    <definedName name="h" localSheetId="6" hidden="1">{"'Sheet1'!$L$16"}</definedName>
    <definedName name="h" hidden="1">{"'Sheet1'!$L$16"}</definedName>
    <definedName name="HANG" localSheetId="6" hidden="1">{#N/A,#N/A,FALSE,"Chi tiÆt"}</definedName>
    <definedName name="HANG" hidden="1">{#N/A,#N/A,FALSE,"Chi tiÆt"}</definedName>
    <definedName name="hhh" localSheetId="6" hidden="1">{"'Sheet1'!$L$16"}</definedName>
    <definedName name="hhh" hidden="1">{"'Sheet1'!$L$16"}</definedName>
    <definedName name="HiddenRows" localSheetId="6" hidden="1">#REF!</definedName>
    <definedName name="HiddenRows" hidden="1">#REF!</definedName>
    <definedName name="HIHIHIHOI" localSheetId="6" hidden="1">{"'Sheet1'!$L$16"}</definedName>
    <definedName name="HIHIHIHOI" hidden="1">{"'Sheet1'!$L$16"}</definedName>
    <definedName name="hj" localSheetId="6" hidden="1">{"'Sheet1'!$L$16"}</definedName>
    <definedName name="hj" hidden="1">{"'Sheet1'!$L$16"}</definedName>
    <definedName name="HJKL" localSheetId="6" hidden="1">{"'Sheet1'!$L$16"}</definedName>
    <definedName name="HJKL" hidden="1">{"'Sheet1'!$L$16"}</definedName>
    <definedName name="htlm" localSheetId="6" hidden="1">{"'Sheet1'!$L$16"}</definedName>
    <definedName name="htlm" hidden="1">{"'Sheet1'!$L$16"}</definedName>
    <definedName name="HTML_CodePage" hidden="1">950</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rhrt" localSheetId="6" hidden="1">{"'Sheet1'!$L$16"}</definedName>
    <definedName name="htrhrt" hidden="1">{"'Sheet1'!$L$16"}</definedName>
    <definedName name="hu" localSheetId="6" hidden="1">{"'Sheet1'!$L$16"}</definedName>
    <definedName name="hu" hidden="1">{"'Sheet1'!$L$16"}</definedName>
    <definedName name="huy" localSheetId="6" hidden="1">{"'Sheet1'!$L$16"}</definedName>
    <definedName name="huy" hidden="1">{"'Sheet1'!$L$16"}</definedName>
    <definedName name="KHANHKHUNG" localSheetId="6" hidden="1">{"'Sheet1'!$L$16"}</definedName>
    <definedName name="KHANHKHUNG" hidden="1">{"'Sheet1'!$L$16"}</definedName>
    <definedName name="khla09" localSheetId="6" hidden="1">{"'Sheet1'!$L$16"}</definedName>
    <definedName name="khla09" hidden="1">{"'Sheet1'!$L$16"}</definedName>
    <definedName name="khongtruotgia" localSheetId="6" hidden="1">{"'Sheet1'!$L$16"}</definedName>
    <definedName name="khongtruotgia" hidden="1">{"'Sheet1'!$L$16"}</definedName>
    <definedName name="khvh09" localSheetId="6" hidden="1">{"'Sheet1'!$L$16"}</definedName>
    <definedName name="khvh09" hidden="1">{"'Sheet1'!$L$16"}</definedName>
    <definedName name="KHYt09" localSheetId="6" hidden="1">{"'Sheet1'!$L$16"}</definedName>
    <definedName name="KHYt09" hidden="1">{"'Sheet1'!$L$16"}</definedName>
    <definedName name="KLduonggiaods" localSheetId="6" hidden="1">{"'Sheet1'!$L$16"}</definedName>
    <definedName name="KLduonggiaods" hidden="1">{"'Sheet1'!$L$16"}</definedName>
    <definedName name="komtun" localSheetId="6" hidden="1">{"'Sheet1'!$L$16"}</definedName>
    <definedName name="komtun" hidden="1">{"'Sheet1'!$L$16"}</definedName>
    <definedName name="kontum" localSheetId="6" hidden="1">{#N/A,#N/A,TRUE,"BT M200 da 10x20"}</definedName>
    <definedName name="kontum" hidden="1">{#N/A,#N/A,TRUE,"BT M200 da 10x20"}</definedName>
    <definedName name="ksbn" localSheetId="6" hidden="1">{"'Sheet1'!$L$16"}</definedName>
    <definedName name="ksbn" hidden="1">{"'Sheet1'!$L$16"}</definedName>
    <definedName name="kshn" localSheetId="6" hidden="1">{"'Sheet1'!$L$16"}</definedName>
    <definedName name="kshn" hidden="1">{"'Sheet1'!$L$16"}</definedName>
    <definedName name="ksls" localSheetId="6" hidden="1">{"'Sheet1'!$L$16"}</definedName>
    <definedName name="ksls" hidden="1">{"'Sheet1'!$L$16"}</definedName>
    <definedName name="lan" localSheetId="6" hidden="1">{#N/A,#N/A,TRUE,"BT M200 da 10x20"}</definedName>
    <definedName name="lan" hidden="1">{#N/A,#N/A,TRUE,"BT M200 da 10x20"}</definedName>
    <definedName name="langson" localSheetId="6" hidden="1">{"'Sheet1'!$L$16"}</definedName>
    <definedName name="langson" hidden="1">{"'Sheet1'!$L$16"}</definedName>
    <definedName name="mo" localSheetId="6" hidden="1">{"'Sheet1'!$L$16"}</definedName>
    <definedName name="mo" hidden="1">{"'Sheet1'!$L$16"}</definedName>
    <definedName name="NHANH2_CG4" localSheetId="6" hidden="1">{"'Sheet1'!$L$16"}</definedName>
    <definedName name="NHANH2_CG4" hidden="1">{"'Sheet1'!$L$16"}</definedName>
    <definedName name="OrderTable" localSheetId="6" hidden="1">#REF!</definedName>
    <definedName name="OrderTable" hidden="1">#REF!</definedName>
    <definedName name="PAIII_" localSheetId="6" hidden="1">{"'Sheet1'!$L$16"}</definedName>
    <definedName name="PAIII_" hidden="1">{"'Sheet1'!$L$16"}</definedName>
    <definedName name="PMS" localSheetId="6" hidden="1">{"'Sheet1'!$L$16"}</definedName>
    <definedName name="PMS" hidden="1">{"'Sheet1'!$L$16"}</definedName>
    <definedName name="_xlnm.Print_Area" localSheetId="3">'65_QT'!$A$1:$E$44</definedName>
    <definedName name="_xlnm.Print_Area" localSheetId="6">'68_QT'!$A$1:$BO$52</definedName>
    <definedName name="_xlnm.Print_Titles" localSheetId="1">'63_QT'!$6:$7</definedName>
    <definedName name="_xlnm.Print_Titles" localSheetId="2">'64_QT '!$5:$7</definedName>
    <definedName name="_xlnm.Print_Titles" localSheetId="3">'65_QT'!$6:$7</definedName>
    <definedName name="_xlnm.Print_Titles" localSheetId="4">'66_QT '!$7:$10</definedName>
    <definedName name="ProdForm" localSheetId="6" hidden="1">#REF!</definedName>
    <definedName name="ProdForm" hidden="1">#REF!</definedName>
    <definedName name="Product" localSheetId="6" hidden="1">#REF!</definedName>
    <definedName name="Product" hidden="1">#REF!</definedName>
    <definedName name="RCArea" localSheetId="6" hidden="1">#REF!</definedName>
    <definedName name="RCArea" hidden="1">#REF!</definedName>
    <definedName name="re" localSheetId="6" hidden="1">{"'Sheet1'!$L$16"}</definedName>
    <definedName name="re" hidden="1">{"'Sheet1'!$L$16"}</definedName>
    <definedName name="RGHGSD" localSheetId="6" hidden="1">{"'Sheet1'!$L$16"}</definedName>
    <definedName name="RGHGSD" hidden="1">{"'Sheet1'!$L$16"}</definedName>
    <definedName name="rr" localSheetId="6" hidden="1">{"'Sheet1'!$L$16"}</definedName>
    <definedName name="rr" hidden="1">{"'Sheet1'!$L$16"}</definedName>
    <definedName name="sdbv" localSheetId="6" hidden="1">{"'Sheet1'!$L$16"}</definedName>
    <definedName name="sdbv" hidden="1">{"'Sheet1'!$L$16"}</definedName>
    <definedName name="Sosanh2" localSheetId="6" hidden="1">{"'Sheet1'!$L$16"}</definedName>
    <definedName name="Sosanh2" hidden="1">{"'Sheet1'!$L$16"}</definedName>
    <definedName name="SpecialPrice" localSheetId="6" hidden="1">#REF!</definedName>
    <definedName name="SpecialPrice" hidden="1">#REF!</definedName>
    <definedName name="T.3" localSheetId="6" hidden="1">{"'Sheet1'!$L$16"}</definedName>
    <definedName name="T.3" hidden="1">{"'Sheet1'!$L$16"}</definedName>
    <definedName name="tbl_ProdInfo" localSheetId="6" hidden="1">#REF!</definedName>
    <definedName name="tbl_ProdInfo" hidden="1">#REF!</definedName>
    <definedName name="tha" localSheetId="6" hidden="1">{"'Sheet1'!$L$16"}</definedName>
    <definedName name="tha" hidden="1">{"'Sheet1'!$L$16"}</definedName>
    <definedName name="trong" localSheetId="6" hidden="1">{"'Sheet1'!$L$16"}</definedName>
    <definedName name="trong" hidden="1">{"'Sheet1'!$L$16"}</definedName>
    <definedName name="ttttt" localSheetId="6" hidden="1">{"'Sheet1'!$L$16"}</definedName>
    <definedName name="ttttt" hidden="1">{"'Sheet1'!$L$16"}</definedName>
    <definedName name="ttttttttttt" localSheetId="6" hidden="1">{"'Sheet1'!$L$16"}</definedName>
    <definedName name="ttttttttttt" hidden="1">{"'Sheet1'!$L$16"}</definedName>
    <definedName name="tuyennhanh" localSheetId="6" hidden="1">{"'Sheet1'!$L$16"}</definedName>
    <definedName name="tuyennhanh" hidden="1">{"'Sheet1'!$L$16"}</definedName>
    <definedName name="uu" localSheetId="6" hidden="1">{"'Sheet1'!$L$16"}</definedName>
    <definedName name="uu" hidden="1">{"'Sheet1'!$L$16"}</definedName>
    <definedName name="VATM" localSheetId="6" hidden="1">{"'Sheet1'!$L$16"}</definedName>
    <definedName name="VATM" hidden="1">{"'Sheet1'!$L$16"}</definedName>
    <definedName name="vcoto" localSheetId="6" hidden="1">{"'Sheet1'!$L$16"}</definedName>
    <definedName name="vcoto" hidden="1">{"'Sheet1'!$L$16"}</definedName>
    <definedName name="VH" localSheetId="6" hidden="1">{"'Sheet1'!$L$16"}</definedName>
    <definedName name="VH" hidden="1">{"'Sheet1'!$L$16"}</definedName>
    <definedName name="Viet" localSheetId="6" hidden="1">{"'Sheet1'!$L$16"}</definedName>
    <definedName name="Viet" hidden="1">{"'Sheet1'!$L$16"}</definedName>
    <definedName name="vlct" localSheetId="6" hidden="1">{"'Sheet1'!$L$16"}</definedName>
    <definedName name="vlct" hidden="1">{"'Sheet1'!$L$16"}</definedName>
    <definedName name="wrn.Bang._.ke._.nhan._.hang." localSheetId="6" hidden="1">{#N/A,#N/A,FALSE,"Ke khai NH"}</definedName>
    <definedName name="wrn.Bang._.ke._.nhan._.hang." hidden="1">{#N/A,#N/A,FALSE,"Ke khai NH"}</definedName>
    <definedName name="wrn.Che._.do._.duoc._.huong." localSheetId="6" hidden="1">{#N/A,#N/A,FALSE,"BN (2)"}</definedName>
    <definedName name="wrn.Che._.do._.duoc._.huong." hidden="1">{#N/A,#N/A,FALSE,"BN (2)"}</definedName>
    <definedName name="wrn.chi._.tiÆt." localSheetId="6" hidden="1">{#N/A,#N/A,FALSE,"Chi tiÆt"}</definedName>
    <definedName name="wrn.chi._.tiÆt." hidden="1">{#N/A,#N/A,FALSE,"Chi tiÆt"}</definedName>
    <definedName name="wrn.Giáy._.bao._.no." localSheetId="6" hidden="1">{#N/A,#N/A,FALSE,"BN"}</definedName>
    <definedName name="wrn.Giáy._.bao._.no." hidden="1">{#N/A,#N/A,FALSE,"BN"}</definedName>
    <definedName name="wrn.vd." localSheetId="6" hidden="1">{#N/A,#N/A,TRUE,"BT M200 da 10x20"}</definedName>
    <definedName name="wrn.vd." hidden="1">{#N/A,#N/A,TRUE,"BT M200 da 10x20"}</definedName>
    <definedName name="xls" localSheetId="6" hidden="1">{"'Sheet1'!$L$16"}</definedName>
    <definedName name="xls" hidden="1">{"'Sheet1'!$L$16"}</definedName>
    <definedName name="xlttbninh" localSheetId="6" hidden="1">{"'Sheet1'!$L$16"}</definedName>
    <definedName name="xlttbninh" hidden="1">{"'Sheet1'!$L$16"}</definedName>
  </definedNames>
  <calcPr calcId="191029"/>
</workbook>
</file>

<file path=xl/calcChain.xml><?xml version="1.0" encoding="utf-8"?>
<calcChain xmlns="http://schemas.openxmlformats.org/spreadsheetml/2006/main">
  <c r="BN39" i="22" l="1"/>
  <c r="BM39" i="22"/>
  <c r="BI39" i="22"/>
  <c r="BA39" i="22"/>
  <c r="AY39" i="22"/>
  <c r="Z13" i="22"/>
  <c r="AG13" i="22"/>
  <c r="AI13" i="22"/>
  <c r="AW13" i="22"/>
  <c r="AX13" i="22"/>
  <c r="BK51" i="22"/>
  <c r="BG51" i="22"/>
  <c r="BD51" i="22"/>
  <c r="AV51" i="22"/>
  <c r="AS51" i="22"/>
  <c r="AO51" i="22"/>
  <c r="AL51" i="22"/>
  <c r="AH51" i="22"/>
  <c r="AE51" i="22"/>
  <c r="Y51" i="22"/>
  <c r="X51" i="22" s="1"/>
  <c r="V51" i="22"/>
  <c r="U51" i="22" s="1"/>
  <c r="R51" i="22"/>
  <c r="BN51" i="22" s="1"/>
  <c r="N51" i="22"/>
  <c r="J51" i="22"/>
  <c r="G51" i="22"/>
  <c r="BK50" i="22"/>
  <c r="BG50" i="22"/>
  <c r="BD50" i="22"/>
  <c r="AV50" i="22"/>
  <c r="AS50" i="22"/>
  <c r="AO50" i="22"/>
  <c r="AL50" i="22"/>
  <c r="AH50" i="22"/>
  <c r="AE50" i="22"/>
  <c r="Y50" i="22"/>
  <c r="X50" i="22" s="1"/>
  <c r="V50" i="22"/>
  <c r="U50" i="22" s="1"/>
  <c r="R50" i="22"/>
  <c r="BN50" i="22" s="1"/>
  <c r="N50" i="22"/>
  <c r="J50" i="22"/>
  <c r="G50" i="22"/>
  <c r="BK49" i="22"/>
  <c r="BG49" i="22"/>
  <c r="AV49" i="22"/>
  <c r="AS49" i="22"/>
  <c r="AO49" i="22"/>
  <c r="AL49" i="22"/>
  <c r="AH49" i="22"/>
  <c r="AE49" i="22"/>
  <c r="Y49" i="22"/>
  <c r="X49" i="22" s="1"/>
  <c r="V49" i="22"/>
  <c r="U49" i="22" s="1"/>
  <c r="R49" i="22"/>
  <c r="N49" i="22"/>
  <c r="J49" i="22"/>
  <c r="G49" i="22"/>
  <c r="BK48" i="22"/>
  <c r="BG48" i="22"/>
  <c r="AV48" i="22"/>
  <c r="AS48" i="22"/>
  <c r="AO48" i="22"/>
  <c r="AL48" i="22"/>
  <c r="AH48" i="22"/>
  <c r="AE48" i="22"/>
  <c r="Y48" i="22"/>
  <c r="X48" i="22" s="1"/>
  <c r="U48" i="22"/>
  <c r="R48" i="22"/>
  <c r="Q48" i="22" s="1"/>
  <c r="N48" i="22"/>
  <c r="J48" i="22"/>
  <c r="G48" i="22"/>
  <c r="BK47" i="22"/>
  <c r="BG47" i="22"/>
  <c r="AV47" i="22"/>
  <c r="AS47" i="22"/>
  <c r="AO47" i="22"/>
  <c r="AL47" i="22"/>
  <c r="AH47" i="22"/>
  <c r="AE47" i="22"/>
  <c r="Y47" i="22"/>
  <c r="X47" i="22" s="1"/>
  <c r="V47" i="22"/>
  <c r="U47" i="22" s="1"/>
  <c r="R47" i="22"/>
  <c r="Q47" i="22" s="1"/>
  <c r="N47" i="22"/>
  <c r="J47" i="22"/>
  <c r="G47" i="22"/>
  <c r="BK46" i="22"/>
  <c r="BG46" i="22"/>
  <c r="BD46" i="22"/>
  <c r="AV46" i="22"/>
  <c r="AS46" i="22"/>
  <c r="AO46" i="22"/>
  <c r="AL46" i="22"/>
  <c r="AH46" i="22"/>
  <c r="AE46" i="22"/>
  <c r="Y46" i="22"/>
  <c r="X46" i="22" s="1"/>
  <c r="V46" i="22"/>
  <c r="R46" i="22"/>
  <c r="Q46" i="22" s="1"/>
  <c r="N46" i="22"/>
  <c r="J46" i="22"/>
  <c r="G46" i="22"/>
  <c r="BK45" i="22"/>
  <c r="BG45" i="22"/>
  <c r="AV45" i="22"/>
  <c r="AS45" i="22"/>
  <c r="AO45" i="22"/>
  <c r="AL45" i="22"/>
  <c r="AH45" i="22"/>
  <c r="AE45" i="22"/>
  <c r="Y45" i="22"/>
  <c r="X45" i="22" s="1"/>
  <c r="V45" i="22"/>
  <c r="U45" i="22" s="1"/>
  <c r="R45" i="22"/>
  <c r="BN45" i="22" s="1"/>
  <c r="N45" i="22"/>
  <c r="J45" i="22"/>
  <c r="G45" i="22"/>
  <c r="BG44" i="22"/>
  <c r="AV44" i="22"/>
  <c r="AS44" i="22"/>
  <c r="AR44" i="22" s="1"/>
  <c r="AO44" i="22"/>
  <c r="AL44" i="22"/>
  <c r="AH44" i="22"/>
  <c r="AE44" i="22"/>
  <c r="Y44" i="22"/>
  <c r="X44" i="22" s="1"/>
  <c r="U44" i="22"/>
  <c r="R44" i="22"/>
  <c r="BN44" i="22" s="1"/>
  <c r="Q44" i="22"/>
  <c r="O44" i="22"/>
  <c r="J44" i="22"/>
  <c r="G44" i="22"/>
  <c r="BK43" i="22"/>
  <c r="BG43" i="22"/>
  <c r="AV43" i="22"/>
  <c r="AS43" i="22"/>
  <c r="AR43" i="22" s="1"/>
  <c r="AO43" i="22"/>
  <c r="AL43" i="22"/>
  <c r="AH43" i="22"/>
  <c r="AE43" i="22"/>
  <c r="Y43" i="22"/>
  <c r="V43" i="22"/>
  <c r="U43" i="22" s="1"/>
  <c r="R43" i="22"/>
  <c r="Q43" i="22" s="1"/>
  <c r="N43" i="22"/>
  <c r="J43" i="22"/>
  <c r="G43" i="22"/>
  <c r="BK42" i="22"/>
  <c r="BG42" i="22"/>
  <c r="AV42" i="22"/>
  <c r="AS42" i="22"/>
  <c r="AO42" i="22"/>
  <c r="AL42" i="22"/>
  <c r="AH42" i="22"/>
  <c r="AE42" i="22"/>
  <c r="X42" i="22"/>
  <c r="U42" i="22"/>
  <c r="R42" i="22"/>
  <c r="BN42" i="22" s="1"/>
  <c r="N42" i="22"/>
  <c r="J42" i="22"/>
  <c r="G42" i="22"/>
  <c r="F42" i="22" s="1"/>
  <c r="AX41" i="22"/>
  <c r="AW41" i="22"/>
  <c r="AU41" i="22"/>
  <c r="AT41" i="22"/>
  <c r="AQ41" i="22"/>
  <c r="AP41" i="22"/>
  <c r="AN41" i="22"/>
  <c r="AM41" i="22"/>
  <c r="AJ41" i="22"/>
  <c r="AI41" i="22"/>
  <c r="AG41" i="22"/>
  <c r="AF41" i="22"/>
  <c r="Z41" i="22"/>
  <c r="W41" i="22"/>
  <c r="S41" i="22"/>
  <c r="P41" i="22"/>
  <c r="L41" i="22"/>
  <c r="K41" i="22"/>
  <c r="I41" i="22"/>
  <c r="H41" i="22"/>
  <c r="AV40" i="22"/>
  <c r="AS40" i="22"/>
  <c r="AO40" i="22"/>
  <c r="AL40" i="22"/>
  <c r="AK40" i="22" s="1"/>
  <c r="AH40" i="22"/>
  <c r="AE40" i="22"/>
  <c r="X40" i="22"/>
  <c r="U40" i="22"/>
  <c r="Q40" i="22"/>
  <c r="N40" i="22"/>
  <c r="J40" i="22"/>
  <c r="G40" i="22"/>
  <c r="F40" i="22" s="1"/>
  <c r="AV38" i="22"/>
  <c r="AS38" i="22"/>
  <c r="AO38" i="22"/>
  <c r="AL38" i="22"/>
  <c r="AH38" i="22"/>
  <c r="AE38" i="22"/>
  <c r="X38" i="22"/>
  <c r="U38" i="22"/>
  <c r="Q38" i="22"/>
  <c r="N38" i="22"/>
  <c r="J38" i="22"/>
  <c r="G38" i="22"/>
  <c r="AV37" i="22"/>
  <c r="AS37" i="22"/>
  <c r="AO37" i="22"/>
  <c r="AL37" i="22"/>
  <c r="AH37" i="22"/>
  <c r="AE37" i="22"/>
  <c r="Y37" i="22"/>
  <c r="X37" i="22" s="1"/>
  <c r="U37" i="22"/>
  <c r="Q37" i="22"/>
  <c r="N37" i="22"/>
  <c r="J37" i="22"/>
  <c r="G37" i="22"/>
  <c r="AV36" i="22"/>
  <c r="AS36" i="22"/>
  <c r="AO36" i="22"/>
  <c r="AL36" i="22"/>
  <c r="AH36" i="22"/>
  <c r="AE36" i="22"/>
  <c r="Y36" i="22"/>
  <c r="X36" i="22" s="1"/>
  <c r="U36" i="22"/>
  <c r="Q36" i="22"/>
  <c r="N36" i="22"/>
  <c r="J36" i="22"/>
  <c r="G36" i="22"/>
  <c r="AV35" i="22"/>
  <c r="AS35" i="22"/>
  <c r="AO35" i="22"/>
  <c r="AL35" i="22"/>
  <c r="AH35" i="22"/>
  <c r="AE35" i="22"/>
  <c r="X35" i="22"/>
  <c r="U35" i="22"/>
  <c r="Q35" i="22"/>
  <c r="N35" i="22"/>
  <c r="M35" i="22" s="1"/>
  <c r="J35" i="22"/>
  <c r="G35" i="22"/>
  <c r="AV34" i="22"/>
  <c r="AS34" i="22"/>
  <c r="AO34" i="22"/>
  <c r="AL34" i="22"/>
  <c r="AH34" i="22"/>
  <c r="AE34" i="22"/>
  <c r="AD34" i="22" s="1"/>
  <c r="X34" i="22"/>
  <c r="U34" i="22"/>
  <c r="Q34" i="22"/>
  <c r="N34" i="22"/>
  <c r="J34" i="22"/>
  <c r="G34" i="22"/>
  <c r="AV33" i="22"/>
  <c r="AS33" i="22"/>
  <c r="AO33" i="22"/>
  <c r="AL33" i="22"/>
  <c r="AH33" i="22"/>
  <c r="AE33" i="22"/>
  <c r="X33" i="22"/>
  <c r="U33" i="22"/>
  <c r="Q33" i="22"/>
  <c r="N33" i="22"/>
  <c r="M33" i="22" s="1"/>
  <c r="J33" i="22"/>
  <c r="G33" i="22"/>
  <c r="BK32" i="22"/>
  <c r="BG32" i="22"/>
  <c r="AV32" i="22"/>
  <c r="AS32" i="22"/>
  <c r="AO32" i="22"/>
  <c r="AL32" i="22"/>
  <c r="AK32" i="22" s="1"/>
  <c r="AH32" i="22"/>
  <c r="AE32" i="22"/>
  <c r="X32" i="22"/>
  <c r="U32" i="22"/>
  <c r="Q32" i="22"/>
  <c r="N32" i="22"/>
  <c r="J32" i="22"/>
  <c r="G32" i="22"/>
  <c r="AV31" i="22"/>
  <c r="AS31" i="22"/>
  <c r="AO31" i="22"/>
  <c r="AL31" i="22"/>
  <c r="AH31" i="22"/>
  <c r="AE31" i="22"/>
  <c r="X31" i="22"/>
  <c r="U31" i="22"/>
  <c r="T31" i="22" s="1"/>
  <c r="Q31" i="22"/>
  <c r="N31" i="22"/>
  <c r="J31" i="22"/>
  <c r="G31" i="22"/>
  <c r="AV30" i="22"/>
  <c r="AS30" i="22"/>
  <c r="AO30" i="22"/>
  <c r="AL30" i="22"/>
  <c r="AH30" i="22"/>
  <c r="AE30" i="22"/>
  <c r="X30" i="22"/>
  <c r="U30" i="22"/>
  <c r="Q30" i="22"/>
  <c r="N30" i="22"/>
  <c r="J30" i="22"/>
  <c r="G30" i="22"/>
  <c r="BN29" i="22"/>
  <c r="BG29" i="22"/>
  <c r="AV29" i="22"/>
  <c r="AS29" i="22"/>
  <c r="AO29" i="22"/>
  <c r="AL29" i="22"/>
  <c r="AH29" i="22"/>
  <c r="AE29" i="22"/>
  <c r="AD29" i="22" s="1"/>
  <c r="X29" i="22"/>
  <c r="V29" i="22"/>
  <c r="U29" i="22" s="1"/>
  <c r="Q29" i="22"/>
  <c r="N29" i="22"/>
  <c r="J29" i="22"/>
  <c r="G29" i="22"/>
  <c r="AV28" i="22"/>
  <c r="AS28" i="22"/>
  <c r="AO28" i="22"/>
  <c r="AL28" i="22"/>
  <c r="AH28" i="22"/>
  <c r="AE28" i="22"/>
  <c r="X28" i="22"/>
  <c r="U28" i="22"/>
  <c r="Q28" i="22"/>
  <c r="N28" i="22"/>
  <c r="J28" i="22"/>
  <c r="G28" i="22"/>
  <c r="BN27" i="22"/>
  <c r="AV27" i="22"/>
  <c r="AS27" i="22"/>
  <c r="AO27" i="22"/>
  <c r="AL27" i="22"/>
  <c r="AH27" i="22"/>
  <c r="AE27" i="22"/>
  <c r="X27" i="22"/>
  <c r="U27" i="22"/>
  <c r="Q27" i="22"/>
  <c r="N27" i="22"/>
  <c r="J27" i="22"/>
  <c r="G27" i="22"/>
  <c r="BN26" i="22"/>
  <c r="AV26" i="22"/>
  <c r="AS26" i="22"/>
  <c r="AO26" i="22"/>
  <c r="AL26" i="22"/>
  <c r="AH26" i="22"/>
  <c r="AE26" i="22"/>
  <c r="X26" i="22"/>
  <c r="U26" i="22"/>
  <c r="Q26" i="22"/>
  <c r="N26" i="22"/>
  <c r="J26" i="22"/>
  <c r="G26" i="22"/>
  <c r="F26" i="22" s="1"/>
  <c r="BN25" i="22"/>
  <c r="AV25" i="22"/>
  <c r="AS25" i="22"/>
  <c r="AO25" i="22"/>
  <c r="AL25" i="22"/>
  <c r="AH25" i="22"/>
  <c r="AE25" i="22"/>
  <c r="X25" i="22"/>
  <c r="U25" i="22"/>
  <c r="Q25" i="22"/>
  <c r="N25" i="22"/>
  <c r="J25" i="22"/>
  <c r="G25" i="22"/>
  <c r="AV24" i="22"/>
  <c r="AS24" i="22"/>
  <c r="AO24" i="22"/>
  <c r="AL24" i="22"/>
  <c r="AH24" i="22"/>
  <c r="AE24" i="22"/>
  <c r="X24" i="22"/>
  <c r="U24" i="22"/>
  <c r="Q24" i="22"/>
  <c r="N24" i="22"/>
  <c r="J24" i="22"/>
  <c r="G24" i="22"/>
  <c r="BN23" i="22"/>
  <c r="AV23" i="22"/>
  <c r="AS23" i="22"/>
  <c r="AO23" i="22"/>
  <c r="AL23" i="22"/>
  <c r="AH23" i="22"/>
  <c r="AE23" i="22"/>
  <c r="X23" i="22"/>
  <c r="U23" i="22"/>
  <c r="Q23" i="22"/>
  <c r="N23" i="22"/>
  <c r="J23" i="22"/>
  <c r="G23" i="22"/>
  <c r="AV22" i="22"/>
  <c r="AS22" i="22"/>
  <c r="AO22" i="22"/>
  <c r="AL22" i="22"/>
  <c r="AH22" i="22"/>
  <c r="AE22" i="22"/>
  <c r="X22" i="22"/>
  <c r="U22" i="22"/>
  <c r="R22" i="22"/>
  <c r="BN22" i="22" s="1"/>
  <c r="N22" i="22"/>
  <c r="J22" i="22"/>
  <c r="F22" i="22" s="1"/>
  <c r="BN21" i="22"/>
  <c r="AV21" i="22"/>
  <c r="AS21" i="22"/>
  <c r="AO21" i="22"/>
  <c r="AL21" i="22"/>
  <c r="AH21" i="22"/>
  <c r="AE21" i="22"/>
  <c r="X21" i="22"/>
  <c r="U21" i="22"/>
  <c r="Q21" i="22"/>
  <c r="N21" i="22"/>
  <c r="J21" i="22"/>
  <c r="G21" i="22"/>
  <c r="BG20" i="22"/>
  <c r="BD20" i="22"/>
  <c r="AV20" i="22"/>
  <c r="AS20" i="22"/>
  <c r="AO20" i="22"/>
  <c r="AL20" i="22"/>
  <c r="AH20" i="22"/>
  <c r="AE20" i="22"/>
  <c r="X20" i="22"/>
  <c r="U20" i="22"/>
  <c r="Q20" i="22"/>
  <c r="N20" i="22"/>
  <c r="J20" i="22"/>
  <c r="G20" i="22"/>
  <c r="F20" i="22" s="1"/>
  <c r="BN19" i="22"/>
  <c r="AV19" i="22"/>
  <c r="AS19" i="22"/>
  <c r="AO19" i="22"/>
  <c r="AL19" i="22"/>
  <c r="AH19" i="22"/>
  <c r="AE19" i="22"/>
  <c r="Y19" i="22"/>
  <c r="X19" i="22" s="1"/>
  <c r="U19" i="22"/>
  <c r="Q19" i="22"/>
  <c r="N19" i="22"/>
  <c r="J19" i="22"/>
  <c r="G19" i="22"/>
  <c r="AV18" i="22"/>
  <c r="AS18" i="22"/>
  <c r="AO18" i="22"/>
  <c r="AL18" i="22"/>
  <c r="AH18" i="22"/>
  <c r="AE18" i="22"/>
  <c r="Y18" i="22"/>
  <c r="X18" i="22" s="1"/>
  <c r="U18" i="22"/>
  <c r="Q18" i="22"/>
  <c r="N18" i="22"/>
  <c r="J18" i="22"/>
  <c r="G18" i="22"/>
  <c r="AV17" i="22"/>
  <c r="AS17" i="22"/>
  <c r="AO17" i="22"/>
  <c r="AL17" i="22"/>
  <c r="AH17" i="22"/>
  <c r="AE17" i="22"/>
  <c r="X17" i="22"/>
  <c r="U17" i="22"/>
  <c r="Q17" i="22"/>
  <c r="N17" i="22"/>
  <c r="J17" i="22"/>
  <c r="G17" i="22"/>
  <c r="AV16" i="22"/>
  <c r="AS16" i="22"/>
  <c r="AO16" i="22"/>
  <c r="AL16" i="22"/>
  <c r="AH16" i="22"/>
  <c r="AE16" i="22"/>
  <c r="Y16" i="22"/>
  <c r="X16" i="22" s="1"/>
  <c r="U16" i="22"/>
  <c r="Q16" i="22"/>
  <c r="N16" i="22"/>
  <c r="J16" i="22"/>
  <c r="G16" i="22"/>
  <c r="BG15" i="22"/>
  <c r="BD15" i="22"/>
  <c r="AV15" i="22"/>
  <c r="AS15" i="22"/>
  <c r="AO15" i="22"/>
  <c r="AL15" i="22"/>
  <c r="AH15" i="22"/>
  <c r="AE15" i="22"/>
  <c r="X15" i="22"/>
  <c r="U15" i="22"/>
  <c r="Q15" i="22"/>
  <c r="N15" i="22"/>
  <c r="J15" i="22"/>
  <c r="G15" i="22"/>
  <c r="BG14" i="22"/>
  <c r="AV14" i="22"/>
  <c r="AS14" i="22"/>
  <c r="AP14" i="22"/>
  <c r="BN14" i="22" s="1"/>
  <c r="AL14" i="22"/>
  <c r="AH14" i="22"/>
  <c r="AE14" i="22"/>
  <c r="Y14" i="22"/>
  <c r="X14" i="22" s="1"/>
  <c r="V14" i="22"/>
  <c r="U14" i="22" s="1"/>
  <c r="Q14" i="22"/>
  <c r="O14" i="22"/>
  <c r="O13" i="22" s="1"/>
  <c r="J14" i="22"/>
  <c r="G14" i="22"/>
  <c r="AU13" i="22"/>
  <c r="AT13" i="22"/>
  <c r="AQ13" i="22"/>
  <c r="AQ12" i="22" s="1"/>
  <c r="AN13" i="22"/>
  <c r="AN12" i="22" s="1"/>
  <c r="AM13" i="22"/>
  <c r="AJ13" i="22"/>
  <c r="AJ12" i="22" s="1"/>
  <c r="AF13" i="22"/>
  <c r="W13" i="22"/>
  <c r="S13" i="22"/>
  <c r="S12" i="22" s="1"/>
  <c r="P13" i="22"/>
  <c r="L13" i="22"/>
  <c r="L12" i="22" s="1"/>
  <c r="K13" i="22"/>
  <c r="K12" i="22" s="1"/>
  <c r="I13" i="22"/>
  <c r="I12" i="22" s="1"/>
  <c r="H13" i="22"/>
  <c r="G14" i="16"/>
  <c r="I14" i="16"/>
  <c r="J14" i="16"/>
  <c r="D14" i="16"/>
  <c r="L14" i="16"/>
  <c r="R14" i="16"/>
  <c r="S14" i="16"/>
  <c r="T14" i="16"/>
  <c r="V14" i="16"/>
  <c r="V13" i="16" s="1"/>
  <c r="X14" i="16"/>
  <c r="Y14" i="16"/>
  <c r="Z14" i="16"/>
  <c r="AA14" i="16"/>
  <c r="AD90" i="16"/>
  <c r="AE90" i="16"/>
  <c r="AC90" i="16"/>
  <c r="AB90" i="16"/>
  <c r="AA116" i="16"/>
  <c r="U116" i="16"/>
  <c r="P116" i="16"/>
  <c r="K116" i="16"/>
  <c r="C116" i="16" s="1"/>
  <c r="X115" i="16"/>
  <c r="U115" i="16"/>
  <c r="P115" i="16"/>
  <c r="K115" i="16"/>
  <c r="C115" i="16" s="1"/>
  <c r="U114" i="16"/>
  <c r="P114" i="16"/>
  <c r="K114" i="16"/>
  <c r="C114" i="16" s="1"/>
  <c r="P113" i="16"/>
  <c r="N113" i="16" s="1"/>
  <c r="C113" i="16"/>
  <c r="X112" i="16"/>
  <c r="U112" i="16"/>
  <c r="P112" i="16"/>
  <c r="K112" i="16"/>
  <c r="C112" i="16" s="1"/>
  <c r="X111" i="16"/>
  <c r="U111" i="16"/>
  <c r="P111" i="16"/>
  <c r="K111" i="16"/>
  <c r="C111" i="16" s="1"/>
  <c r="X110" i="16"/>
  <c r="U110" i="16"/>
  <c r="P110" i="16"/>
  <c r="K110" i="16"/>
  <c r="C110" i="16" s="1"/>
  <c r="X109" i="16"/>
  <c r="U109" i="16"/>
  <c r="P109" i="16"/>
  <c r="K109" i="16"/>
  <c r="C109" i="16" s="1"/>
  <c r="X108" i="16"/>
  <c r="U108" i="16"/>
  <c r="S108" i="16"/>
  <c r="P108" i="16"/>
  <c r="K108" i="16"/>
  <c r="C108" i="16" s="1"/>
  <c r="P107" i="16"/>
  <c r="E107" i="16"/>
  <c r="P106" i="16"/>
  <c r="E106" i="16"/>
  <c r="P105" i="16"/>
  <c r="E105" i="16"/>
  <c r="C105" i="16" s="1"/>
  <c r="AB104" i="16"/>
  <c r="AA104" i="16"/>
  <c r="Z104" i="16"/>
  <c r="Y104" i="16"/>
  <c r="X104" i="16"/>
  <c r="W104" i="16"/>
  <c r="V104" i="16"/>
  <c r="U104" i="16"/>
  <c r="T104" i="16"/>
  <c r="S104" i="16"/>
  <c r="R104" i="16"/>
  <c r="Q104" i="16"/>
  <c r="O104" i="16"/>
  <c r="N104" i="16"/>
  <c r="F104" i="16"/>
  <c r="P103" i="16"/>
  <c r="K103" i="16"/>
  <c r="C103" i="16" s="1"/>
  <c r="AC102" i="16"/>
  <c r="X102" i="16"/>
  <c r="U102" i="16"/>
  <c r="P102" i="16"/>
  <c r="K102" i="16"/>
  <c r="C102" i="16" s="1"/>
  <c r="X101" i="16"/>
  <c r="U101" i="16"/>
  <c r="P101" i="16"/>
  <c r="K101" i="16"/>
  <c r="C101" i="16"/>
  <c r="AC100" i="16"/>
  <c r="X100" i="16"/>
  <c r="U100" i="16"/>
  <c r="P100" i="16"/>
  <c r="K100" i="16"/>
  <c r="AC99" i="16"/>
  <c r="X99" i="16"/>
  <c r="U99" i="16"/>
  <c r="P99" i="16"/>
  <c r="K99" i="16"/>
  <c r="C99" i="16" s="1"/>
  <c r="X98" i="16"/>
  <c r="U98" i="16"/>
  <c r="P98" i="16"/>
  <c r="K98" i="16"/>
  <c r="C98" i="16" s="1"/>
  <c r="AC97" i="16"/>
  <c r="X97" i="16"/>
  <c r="U97" i="16"/>
  <c r="P97" i="16"/>
  <c r="K97" i="16"/>
  <c r="C97" i="16" s="1"/>
  <c r="AC96" i="16"/>
  <c r="X96" i="16"/>
  <c r="U96" i="16"/>
  <c r="P96" i="16"/>
  <c r="K96" i="16"/>
  <c r="C96" i="16" s="1"/>
  <c r="AC95" i="16"/>
  <c r="X95" i="16"/>
  <c r="U95" i="16"/>
  <c r="P95" i="16"/>
  <c r="N95" i="16" s="1"/>
  <c r="K95" i="16"/>
  <c r="C95" i="16" s="1"/>
  <c r="X94" i="16"/>
  <c r="U94" i="16"/>
  <c r="P94" i="16"/>
  <c r="K94" i="16"/>
  <c r="C94" i="16" s="1"/>
  <c r="X93" i="16"/>
  <c r="U93" i="16"/>
  <c r="P93" i="16"/>
  <c r="O93" i="16"/>
  <c r="AC93" i="16" s="1"/>
  <c r="K93" i="16"/>
  <c r="Z92" i="16"/>
  <c r="Y92" i="16"/>
  <c r="V92" i="16"/>
  <c r="T92" i="16"/>
  <c r="S92" i="16"/>
  <c r="R92" i="16"/>
  <c r="Q92" i="16"/>
  <c r="M92" i="16"/>
  <c r="L92" i="16"/>
  <c r="J92" i="16"/>
  <c r="J13" i="16" s="1"/>
  <c r="J12" i="16" s="1"/>
  <c r="I92" i="16"/>
  <c r="E92" i="16"/>
  <c r="D92" i="16"/>
  <c r="U91" i="16"/>
  <c r="P91" i="16"/>
  <c r="E91" i="16"/>
  <c r="C91" i="16" s="1"/>
  <c r="U89" i="16"/>
  <c r="P89" i="16"/>
  <c r="E89" i="16"/>
  <c r="C89" i="16" s="1"/>
  <c r="U88" i="16"/>
  <c r="P88" i="16"/>
  <c r="K88" i="16"/>
  <c r="E88" i="16"/>
  <c r="U87" i="16"/>
  <c r="P87" i="16"/>
  <c r="K87" i="16"/>
  <c r="E87" i="16"/>
  <c r="U86" i="16"/>
  <c r="P86" i="16"/>
  <c r="K86" i="16"/>
  <c r="E86" i="16"/>
  <c r="U85" i="16"/>
  <c r="P85" i="16"/>
  <c r="K85" i="16"/>
  <c r="E85" i="16"/>
  <c r="U84" i="16"/>
  <c r="P84" i="16"/>
  <c r="K84" i="16"/>
  <c r="E84" i="16"/>
  <c r="U83" i="16"/>
  <c r="P83" i="16"/>
  <c r="K83" i="16"/>
  <c r="E83" i="16"/>
  <c r="U82" i="16"/>
  <c r="P82" i="16"/>
  <c r="K82" i="16"/>
  <c r="E82" i="16"/>
  <c r="U81" i="16"/>
  <c r="P81" i="16"/>
  <c r="K81" i="16"/>
  <c r="E81" i="16"/>
  <c r="U80" i="16"/>
  <c r="P80" i="16"/>
  <c r="K80" i="16"/>
  <c r="E80" i="16"/>
  <c r="U79" i="16"/>
  <c r="P79" i="16"/>
  <c r="K79" i="16"/>
  <c r="E79" i="16"/>
  <c r="U78" i="16"/>
  <c r="P78" i="16"/>
  <c r="K78" i="16"/>
  <c r="E78" i="16"/>
  <c r="U77" i="16"/>
  <c r="P77" i="16"/>
  <c r="K77" i="16"/>
  <c r="E77" i="16"/>
  <c r="U76" i="16"/>
  <c r="P76" i="16"/>
  <c r="K76" i="16"/>
  <c r="E76" i="16"/>
  <c r="U75" i="16"/>
  <c r="P75" i="16"/>
  <c r="K75" i="16"/>
  <c r="E75" i="16"/>
  <c r="U74" i="16"/>
  <c r="P74" i="16"/>
  <c r="K74" i="16"/>
  <c r="E74" i="16"/>
  <c r="U73" i="16"/>
  <c r="P73" i="16"/>
  <c r="K73" i="16"/>
  <c r="E73" i="16"/>
  <c r="U72" i="16"/>
  <c r="P72" i="16"/>
  <c r="K72" i="16"/>
  <c r="E72" i="16"/>
  <c r="U71" i="16"/>
  <c r="P71" i="16"/>
  <c r="K71" i="16"/>
  <c r="E71" i="16"/>
  <c r="U70" i="16"/>
  <c r="P70" i="16"/>
  <c r="K70" i="16"/>
  <c r="E70" i="16"/>
  <c r="U69" i="16"/>
  <c r="P69" i="16"/>
  <c r="N69" i="16" s="1"/>
  <c r="K69" i="16"/>
  <c r="E69" i="16"/>
  <c r="U68" i="16"/>
  <c r="P68" i="16"/>
  <c r="K68" i="16"/>
  <c r="E68" i="16"/>
  <c r="U67" i="16"/>
  <c r="P67" i="16"/>
  <c r="K67" i="16"/>
  <c r="E67" i="16"/>
  <c r="U66" i="16"/>
  <c r="P66" i="16"/>
  <c r="N66" i="16" s="1"/>
  <c r="K66" i="16"/>
  <c r="E66" i="16"/>
  <c r="U65" i="16"/>
  <c r="P65" i="16"/>
  <c r="K65" i="16"/>
  <c r="E65" i="16"/>
  <c r="U64" i="16"/>
  <c r="P64" i="16"/>
  <c r="K64" i="16"/>
  <c r="F64" i="16"/>
  <c r="E64" i="16" s="1"/>
  <c r="U63" i="16"/>
  <c r="P63" i="16"/>
  <c r="K63" i="16"/>
  <c r="E63" i="16"/>
  <c r="U62" i="16"/>
  <c r="P62" i="16"/>
  <c r="K62" i="16"/>
  <c r="E62" i="16"/>
  <c r="C62" i="16" s="1"/>
  <c r="U61" i="16"/>
  <c r="P61" i="16"/>
  <c r="K61" i="16"/>
  <c r="E61" i="16"/>
  <c r="U60" i="16"/>
  <c r="P60" i="16"/>
  <c r="N60" i="16" s="1"/>
  <c r="K60" i="16"/>
  <c r="E60" i="16"/>
  <c r="U59" i="16"/>
  <c r="P59" i="16"/>
  <c r="K59" i="16"/>
  <c r="E59" i="16"/>
  <c r="U58" i="16"/>
  <c r="P58" i="16"/>
  <c r="K58" i="16"/>
  <c r="E58" i="16"/>
  <c r="U57" i="16"/>
  <c r="P57" i="16"/>
  <c r="K57" i="16"/>
  <c r="E57" i="16"/>
  <c r="U56" i="16"/>
  <c r="P56" i="16"/>
  <c r="K56" i="16"/>
  <c r="E56" i="16"/>
  <c r="U55" i="16"/>
  <c r="P55" i="16"/>
  <c r="K55" i="16"/>
  <c r="E55" i="16"/>
  <c r="U54" i="16"/>
  <c r="P54" i="16"/>
  <c r="K54" i="16"/>
  <c r="E54" i="16"/>
  <c r="U53" i="16"/>
  <c r="P53" i="16"/>
  <c r="K53" i="16"/>
  <c r="E53" i="16"/>
  <c r="U52" i="16"/>
  <c r="P52" i="16"/>
  <c r="K52" i="16"/>
  <c r="E52" i="16"/>
  <c r="U51" i="16"/>
  <c r="P51" i="16"/>
  <c r="K51" i="16"/>
  <c r="E51" i="16"/>
  <c r="U50" i="16"/>
  <c r="P50" i="16"/>
  <c r="K50" i="16"/>
  <c r="E50" i="16"/>
  <c r="U49" i="16"/>
  <c r="P49" i="16"/>
  <c r="K49" i="16"/>
  <c r="E49" i="16"/>
  <c r="U48" i="16"/>
  <c r="P48" i="16"/>
  <c r="O48" i="16"/>
  <c r="K48" i="16"/>
  <c r="E48" i="16"/>
  <c r="U47" i="16"/>
  <c r="Q47" i="16"/>
  <c r="P47" i="16" s="1"/>
  <c r="K47" i="16"/>
  <c r="E47" i="16"/>
  <c r="U46" i="16"/>
  <c r="Q46" i="16"/>
  <c r="P46" i="16" s="1"/>
  <c r="K46" i="16"/>
  <c r="E46" i="16"/>
  <c r="U45" i="16"/>
  <c r="Q45" i="16"/>
  <c r="P45" i="16" s="1"/>
  <c r="K45" i="16"/>
  <c r="E45" i="16"/>
  <c r="U44" i="16"/>
  <c r="P44" i="16"/>
  <c r="K44" i="16"/>
  <c r="E44" i="16"/>
  <c r="C44" i="16" s="1"/>
  <c r="U43" i="16"/>
  <c r="Q43" i="16"/>
  <c r="P43" i="16" s="1"/>
  <c r="O43" i="16"/>
  <c r="AC43" i="16" s="1"/>
  <c r="K43" i="16"/>
  <c r="E43" i="16"/>
  <c r="U42" i="16"/>
  <c r="Q42" i="16"/>
  <c r="P42" i="16"/>
  <c r="K42" i="16"/>
  <c r="E42" i="16"/>
  <c r="U41" i="16"/>
  <c r="Q41" i="16"/>
  <c r="P41" i="16" s="1"/>
  <c r="O41" i="16"/>
  <c r="K41" i="16"/>
  <c r="E41" i="16"/>
  <c r="U40" i="16"/>
  <c r="P40" i="16"/>
  <c r="K40" i="16"/>
  <c r="E40" i="16"/>
  <c r="U39" i="16"/>
  <c r="P39" i="16"/>
  <c r="K39" i="16"/>
  <c r="E39" i="16"/>
  <c r="U38" i="16"/>
  <c r="Q38" i="16"/>
  <c r="P38" i="16" s="1"/>
  <c r="K38" i="16"/>
  <c r="E38" i="16"/>
  <c r="U37" i="16"/>
  <c r="Q37" i="16"/>
  <c r="P37" i="16" s="1"/>
  <c r="K37" i="16"/>
  <c r="E37" i="16"/>
  <c r="AC36" i="16"/>
  <c r="P36" i="16"/>
  <c r="K36" i="16"/>
  <c r="E36" i="16"/>
  <c r="U35" i="16"/>
  <c r="P35" i="16"/>
  <c r="K35" i="16"/>
  <c r="E35" i="16"/>
  <c r="W34" i="16"/>
  <c r="Q34" i="16"/>
  <c r="P34" i="16" s="1"/>
  <c r="K34" i="16"/>
  <c r="E34" i="16"/>
  <c r="U33" i="16"/>
  <c r="P33" i="16"/>
  <c r="K33" i="16"/>
  <c r="E33" i="16"/>
  <c r="U32" i="16"/>
  <c r="Q32" i="16"/>
  <c r="P32" i="16" s="1"/>
  <c r="K32" i="16"/>
  <c r="E32" i="16"/>
  <c r="U31" i="16"/>
  <c r="Q31" i="16"/>
  <c r="P31" i="16" s="1"/>
  <c r="O31" i="16"/>
  <c r="AC31" i="16" s="1"/>
  <c r="K31" i="16"/>
  <c r="E31" i="16"/>
  <c r="C31" i="16" s="1"/>
  <c r="U30" i="16"/>
  <c r="Q30" i="16"/>
  <c r="P30" i="16" s="1"/>
  <c r="K30" i="16"/>
  <c r="E30" i="16"/>
  <c r="W29" i="16"/>
  <c r="U29" i="16" s="1"/>
  <c r="Q29" i="16"/>
  <c r="P29" i="16" s="1"/>
  <c r="K29" i="16"/>
  <c r="E29" i="16"/>
  <c r="U28" i="16"/>
  <c r="Q28" i="16"/>
  <c r="P28" i="16" s="1"/>
  <c r="K28" i="16"/>
  <c r="E28" i="16"/>
  <c r="AC27" i="16"/>
  <c r="U27" i="16"/>
  <c r="P27" i="16"/>
  <c r="K27" i="16"/>
  <c r="E27" i="16"/>
  <c r="U26" i="16"/>
  <c r="Q26" i="16"/>
  <c r="P26" i="16" s="1"/>
  <c r="K26" i="16"/>
  <c r="E26" i="16"/>
  <c r="AC25" i="16"/>
  <c r="W25" i="16"/>
  <c r="U25" i="16" s="1"/>
  <c r="Q25" i="16"/>
  <c r="P25" i="16" s="1"/>
  <c r="K25" i="16"/>
  <c r="E25" i="16"/>
  <c r="U24" i="16"/>
  <c r="Q24" i="16"/>
  <c r="P24" i="16" s="1"/>
  <c r="K24" i="16"/>
  <c r="E24" i="16"/>
  <c r="AC23" i="16"/>
  <c r="U23" i="16"/>
  <c r="Q23" i="16"/>
  <c r="P23" i="16" s="1"/>
  <c r="K23" i="16"/>
  <c r="E23" i="16"/>
  <c r="AC22" i="16"/>
  <c r="U22" i="16"/>
  <c r="Q22" i="16"/>
  <c r="P22" i="16" s="1"/>
  <c r="K22" i="16"/>
  <c r="E22" i="16"/>
  <c r="W21" i="16"/>
  <c r="U21" i="16" s="1"/>
  <c r="Q21" i="16"/>
  <c r="P21" i="16" s="1"/>
  <c r="K21" i="16"/>
  <c r="E21" i="16"/>
  <c r="U20" i="16"/>
  <c r="Q20" i="16"/>
  <c r="P20" i="16" s="1"/>
  <c r="K20" i="16"/>
  <c r="E20" i="16"/>
  <c r="U19" i="16"/>
  <c r="P19" i="16"/>
  <c r="K19" i="16"/>
  <c r="E19" i="16"/>
  <c r="C19" i="16" s="1"/>
  <c r="U18" i="16"/>
  <c r="P18" i="16"/>
  <c r="K18" i="16"/>
  <c r="E18" i="16"/>
  <c r="U17" i="16"/>
  <c r="Q17" i="16"/>
  <c r="P17" i="16" s="1"/>
  <c r="K17" i="16"/>
  <c r="H17" i="16"/>
  <c r="H14" i="16" s="1"/>
  <c r="U16" i="16"/>
  <c r="P16" i="16"/>
  <c r="K16" i="16"/>
  <c r="E16" i="16"/>
  <c r="AC15" i="16"/>
  <c r="U15" i="16"/>
  <c r="P15" i="16"/>
  <c r="M15" i="16"/>
  <c r="K15" i="16" s="1"/>
  <c r="E15" i="16"/>
  <c r="AA13" i="16"/>
  <c r="S13" i="16"/>
  <c r="G13" i="16"/>
  <c r="G12" i="16" s="1"/>
  <c r="G66" i="3"/>
  <c r="F66" i="3"/>
  <c r="C66" i="3"/>
  <c r="G65" i="3"/>
  <c r="F65" i="3"/>
  <c r="C65" i="3"/>
  <c r="F64" i="3"/>
  <c r="F63" i="3"/>
  <c r="F62" i="3"/>
  <c r="F61" i="3"/>
  <c r="C61" i="3"/>
  <c r="F60" i="3"/>
  <c r="C60" i="3"/>
  <c r="F59" i="3"/>
  <c r="C59" i="3"/>
  <c r="F58" i="3"/>
  <c r="C58" i="3"/>
  <c r="F57" i="3"/>
  <c r="C57" i="3"/>
  <c r="H56" i="3"/>
  <c r="G56" i="3"/>
  <c r="E56" i="3"/>
  <c r="D56" i="3"/>
  <c r="C56" i="3" s="1"/>
  <c r="F55" i="3"/>
  <c r="F54" i="3" s="1"/>
  <c r="C55" i="3"/>
  <c r="H54" i="3"/>
  <c r="G54" i="3"/>
  <c r="D54" i="3"/>
  <c r="D53" i="3" s="1"/>
  <c r="C54" i="3"/>
  <c r="E54" i="3" s="1"/>
  <c r="E53" i="3" s="1"/>
  <c r="C53" i="3"/>
  <c r="F52" i="3"/>
  <c r="C52" i="3"/>
  <c r="F51" i="3"/>
  <c r="C51" i="3"/>
  <c r="F50" i="3"/>
  <c r="C50" i="3"/>
  <c r="F49" i="3"/>
  <c r="C49" i="3"/>
  <c r="F48" i="3"/>
  <c r="C48" i="3"/>
  <c r="G47" i="3"/>
  <c r="F47" i="3" s="1"/>
  <c r="C47" i="3"/>
  <c r="F46" i="3"/>
  <c r="C46" i="3"/>
  <c r="F45" i="3"/>
  <c r="C45" i="3"/>
  <c r="G44" i="3"/>
  <c r="F44" i="3" s="1"/>
  <c r="C44" i="3"/>
  <c r="H43" i="3"/>
  <c r="G43" i="3"/>
  <c r="G42" i="3" s="1"/>
  <c r="E43" i="3"/>
  <c r="E42" i="3" s="1"/>
  <c r="D43" i="3"/>
  <c r="C43" i="3" s="1"/>
  <c r="H42" i="3"/>
  <c r="F41" i="3"/>
  <c r="C41" i="3"/>
  <c r="F40" i="3"/>
  <c r="C40" i="3"/>
  <c r="H39" i="3"/>
  <c r="G39" i="3"/>
  <c r="E39" i="3"/>
  <c r="E38" i="3" s="1"/>
  <c r="D39" i="3"/>
  <c r="H38" i="3"/>
  <c r="F38" i="3"/>
  <c r="F37" i="3"/>
  <c r="H36" i="3"/>
  <c r="G36" i="3"/>
  <c r="C36" i="3"/>
  <c r="H35" i="3"/>
  <c r="G35" i="3"/>
  <c r="C35" i="3"/>
  <c r="H34" i="3"/>
  <c r="G34" i="3"/>
  <c r="G33" i="3" s="1"/>
  <c r="C34" i="3"/>
  <c r="H33" i="3"/>
  <c r="E33" i="3"/>
  <c r="D33" i="3"/>
  <c r="C33" i="3"/>
  <c r="F31" i="3"/>
  <c r="H31" i="3" s="1"/>
  <c r="C31" i="3"/>
  <c r="G30" i="3"/>
  <c r="F30" i="3"/>
  <c r="E30" i="3"/>
  <c r="G29" i="3"/>
  <c r="F29" i="3"/>
  <c r="E29" i="3"/>
  <c r="G28" i="3"/>
  <c r="F28" i="3"/>
  <c r="C28" i="3"/>
  <c r="C27" i="3"/>
  <c r="G26" i="3"/>
  <c r="F26" i="3"/>
  <c r="C26" i="3"/>
  <c r="G25" i="3"/>
  <c r="F25" i="3"/>
  <c r="C25" i="3"/>
  <c r="G24" i="3"/>
  <c r="F24" i="3"/>
  <c r="C24" i="3"/>
  <c r="H23" i="3"/>
  <c r="F23" i="3"/>
  <c r="G23" i="3" s="1"/>
  <c r="C23" i="3"/>
  <c r="F21" i="3"/>
  <c r="C21" i="3"/>
  <c r="F20" i="3"/>
  <c r="E20" i="3"/>
  <c r="F19" i="3"/>
  <c r="E19" i="3"/>
  <c r="E11" i="3" s="1"/>
  <c r="F18" i="3"/>
  <c r="H18" i="3" s="1"/>
  <c r="C18" i="3"/>
  <c r="F17" i="3"/>
  <c r="H17" i="3" s="1"/>
  <c r="C17" i="3"/>
  <c r="C16" i="3"/>
  <c r="F15" i="3"/>
  <c r="C15" i="3"/>
  <c r="F14" i="3"/>
  <c r="C14" i="3"/>
  <c r="C13" i="3"/>
  <c r="F12" i="3"/>
  <c r="C12" i="3"/>
  <c r="F11" i="3"/>
  <c r="D11" i="3"/>
  <c r="D10" i="3"/>
  <c r="F8" i="3"/>
  <c r="D28" i="4"/>
  <c r="D12" i="4"/>
  <c r="D11" i="4" s="1"/>
  <c r="E48" i="4"/>
  <c r="E47" i="4"/>
  <c r="E46" i="4"/>
  <c r="E45" i="4"/>
  <c r="E44" i="4"/>
  <c r="C28" i="4"/>
  <c r="C12" i="4"/>
  <c r="C11" i="4" s="1"/>
  <c r="P14" i="16" l="1"/>
  <c r="N50" i="16"/>
  <c r="N56" i="16"/>
  <c r="AB56" i="16" s="1"/>
  <c r="C58" i="16"/>
  <c r="C64" i="16"/>
  <c r="N71" i="16"/>
  <c r="C76" i="16"/>
  <c r="N80" i="16"/>
  <c r="N98" i="16"/>
  <c r="AB98" i="16" s="1"/>
  <c r="AO14" i="22"/>
  <c r="F24" i="22"/>
  <c r="AE73" i="16"/>
  <c r="AD40" i="22"/>
  <c r="H28" i="3"/>
  <c r="H30" i="3"/>
  <c r="F35" i="3"/>
  <c r="N49" i="16"/>
  <c r="N58" i="16"/>
  <c r="N61" i="16"/>
  <c r="N70" i="16"/>
  <c r="C72" i="16"/>
  <c r="N73" i="16"/>
  <c r="C78" i="16"/>
  <c r="D19" i="22"/>
  <c r="AC26" i="22"/>
  <c r="H24" i="3"/>
  <c r="H26" i="3"/>
  <c r="C39" i="3"/>
  <c r="F10" i="3"/>
  <c r="F9" i="3" s="1"/>
  <c r="H29" i="3"/>
  <c r="F36" i="3"/>
  <c r="C21" i="16"/>
  <c r="F30" i="22"/>
  <c r="F32" i="22"/>
  <c r="AR35" i="22"/>
  <c r="H25" i="3"/>
  <c r="F42" i="3"/>
  <c r="G53" i="3"/>
  <c r="G21" i="3" s="1"/>
  <c r="H21" i="3" s="1"/>
  <c r="H53" i="3"/>
  <c r="H37" i="3" s="1"/>
  <c r="F56" i="3"/>
  <c r="F53" i="3" s="1"/>
  <c r="AE21" i="16"/>
  <c r="K14" i="16"/>
  <c r="AE97" i="16"/>
  <c r="T13" i="16"/>
  <c r="T12" i="16" s="1"/>
  <c r="G13" i="22"/>
  <c r="BF32" i="22"/>
  <c r="W12" i="22"/>
  <c r="T42" i="22"/>
  <c r="N14" i="22"/>
  <c r="M14" i="22" s="1"/>
  <c r="T25" i="22"/>
  <c r="D28" i="22"/>
  <c r="BM27" i="22"/>
  <c r="T40" i="22"/>
  <c r="AR17" i="22"/>
  <c r="D22" i="22"/>
  <c r="AB37" i="22"/>
  <c r="AH41" i="22"/>
  <c r="AX12" i="22"/>
  <c r="M31" i="22"/>
  <c r="E33" i="22"/>
  <c r="AK33" i="22"/>
  <c r="T34" i="22"/>
  <c r="BJ42" i="22"/>
  <c r="AW12" i="22"/>
  <c r="AU12" i="22"/>
  <c r="AB38" i="22"/>
  <c r="AD49" i="22"/>
  <c r="AC29" i="22"/>
  <c r="F45" i="22"/>
  <c r="AR51" i="22"/>
  <c r="AR18" i="22"/>
  <c r="AD24" i="22"/>
  <c r="P12" i="22"/>
  <c r="M15" i="22"/>
  <c r="M28" i="22"/>
  <c r="E40" i="22"/>
  <c r="AR27" i="22"/>
  <c r="AD16" i="22"/>
  <c r="E17" i="22"/>
  <c r="AD18" i="22"/>
  <c r="AC24" i="22"/>
  <c r="AB16" i="22"/>
  <c r="AK18" i="22"/>
  <c r="F21" i="22"/>
  <c r="M26" i="22"/>
  <c r="BM29" i="22"/>
  <c r="AB22" i="22"/>
  <c r="E25" i="22"/>
  <c r="BF29" i="22"/>
  <c r="AC20" i="22"/>
  <c r="AR15" i="22"/>
  <c r="T16" i="22"/>
  <c r="AD19" i="22"/>
  <c r="M20" i="22"/>
  <c r="AR25" i="22"/>
  <c r="AD30" i="22"/>
  <c r="F35" i="22"/>
  <c r="AK35" i="22"/>
  <c r="BF49" i="22"/>
  <c r="R13" i="22"/>
  <c r="T15" i="22"/>
  <c r="AR14" i="22"/>
  <c r="AB18" i="22"/>
  <c r="M24" i="22"/>
  <c r="AD25" i="22"/>
  <c r="AK29" i="22"/>
  <c r="M37" i="22"/>
  <c r="AD45" i="22"/>
  <c r="H12" i="22"/>
  <c r="AF12" i="22"/>
  <c r="AC17" i="22"/>
  <c r="BA17" i="22" s="1"/>
  <c r="AD20" i="22"/>
  <c r="BB20" i="22" s="1"/>
  <c r="M29" i="22"/>
  <c r="AR30" i="22"/>
  <c r="AR32" i="22"/>
  <c r="T33" i="22"/>
  <c r="AK36" i="22"/>
  <c r="AR42" i="22"/>
  <c r="M48" i="22"/>
  <c r="AR48" i="22"/>
  <c r="AC49" i="22"/>
  <c r="F15" i="22"/>
  <c r="M16" i="22"/>
  <c r="AK20" i="22"/>
  <c r="M21" i="22"/>
  <c r="E24" i="22"/>
  <c r="AD27" i="22"/>
  <c r="AK28" i="22"/>
  <c r="T29" i="22"/>
  <c r="F31" i="22"/>
  <c r="AK31" i="22"/>
  <c r="T32" i="22"/>
  <c r="M34" i="22"/>
  <c r="AR34" i="22"/>
  <c r="AD37" i="22"/>
  <c r="BF45" i="22"/>
  <c r="E46" i="22"/>
  <c r="AR46" i="22"/>
  <c r="E16" i="22"/>
  <c r="E38" i="22"/>
  <c r="BF14" i="22"/>
  <c r="AC15" i="22"/>
  <c r="AR16" i="22"/>
  <c r="BF20" i="22"/>
  <c r="AS41" i="22"/>
  <c r="BF50" i="22"/>
  <c r="Z12" i="22"/>
  <c r="AK14" i="22"/>
  <c r="AK15" i="22"/>
  <c r="AK16" i="22"/>
  <c r="AK19" i="22"/>
  <c r="AK21" i="22"/>
  <c r="T30" i="22"/>
  <c r="AC30" i="22"/>
  <c r="J41" i="22"/>
  <c r="AK42" i="22"/>
  <c r="BJ47" i="22"/>
  <c r="AK49" i="22"/>
  <c r="AK50" i="22"/>
  <c r="F51" i="22"/>
  <c r="BF51" i="22"/>
  <c r="D25" i="22"/>
  <c r="AC25" i="22"/>
  <c r="D26" i="22"/>
  <c r="AK26" i="22"/>
  <c r="M27" i="22"/>
  <c r="T28" i="22"/>
  <c r="E31" i="22"/>
  <c r="E32" i="22"/>
  <c r="BJ32" i="22"/>
  <c r="E35" i="22"/>
  <c r="AD36" i="22"/>
  <c r="D45" i="22"/>
  <c r="AD17" i="22"/>
  <c r="T19" i="22"/>
  <c r="AR19" i="22"/>
  <c r="E21" i="22"/>
  <c r="AC22" i="22"/>
  <c r="AR31" i="22"/>
  <c r="AD32" i="22"/>
  <c r="BB32" i="22" s="1"/>
  <c r="E34" i="22"/>
  <c r="F36" i="22"/>
  <c r="BD41" i="22"/>
  <c r="AC50" i="22"/>
  <c r="D33" i="22"/>
  <c r="C33" i="22" s="1"/>
  <c r="AC33" i="22"/>
  <c r="BA33" i="22" s="1"/>
  <c r="BG13" i="22"/>
  <c r="E20" i="22"/>
  <c r="M25" i="22"/>
  <c r="AD28" i="22"/>
  <c r="AB35" i="22"/>
  <c r="AC38" i="22"/>
  <c r="BG41" i="22"/>
  <c r="BN43" i="22"/>
  <c r="BN48" i="22"/>
  <c r="F14" i="22"/>
  <c r="AD15" i="22"/>
  <c r="E18" i="22"/>
  <c r="AD21" i="22"/>
  <c r="AR22" i="22"/>
  <c r="AD23" i="22"/>
  <c r="AK24" i="22"/>
  <c r="AC27" i="22"/>
  <c r="M30" i="22"/>
  <c r="AR36" i="22"/>
  <c r="AK38" i="22"/>
  <c r="AC43" i="22"/>
  <c r="AC44" i="22"/>
  <c r="D48" i="22"/>
  <c r="AC48" i="22"/>
  <c r="F49" i="22"/>
  <c r="BF15" i="22"/>
  <c r="D16" i="22"/>
  <c r="AC21" i="22"/>
  <c r="D27" i="22"/>
  <c r="T36" i="22"/>
  <c r="D43" i="22"/>
  <c r="BJ45" i="22"/>
  <c r="AK46" i="22"/>
  <c r="AK47" i="22"/>
  <c r="BJ48" i="22"/>
  <c r="F50" i="22"/>
  <c r="M17" i="22"/>
  <c r="AV13" i="22"/>
  <c r="M23" i="22"/>
  <c r="T24" i="22"/>
  <c r="AB25" i="22"/>
  <c r="AD33" i="22"/>
  <c r="AK34" i="22"/>
  <c r="F44" i="22"/>
  <c r="AD44" i="22"/>
  <c r="M46" i="22"/>
  <c r="AD48" i="22"/>
  <c r="AR50" i="22"/>
  <c r="AK51" i="22"/>
  <c r="AL13" i="22"/>
  <c r="BM21" i="22"/>
  <c r="AC28" i="22"/>
  <c r="E30" i="22"/>
  <c r="AC32" i="22"/>
  <c r="V13" i="22"/>
  <c r="BK13" i="22"/>
  <c r="AD14" i="22"/>
  <c r="F18" i="22"/>
  <c r="AC18" i="22"/>
  <c r="E19" i="22"/>
  <c r="C19" i="22" s="1"/>
  <c r="AC19" i="22"/>
  <c r="D20" i="22"/>
  <c r="T21" i="22"/>
  <c r="AR21" i="22"/>
  <c r="T22" i="22"/>
  <c r="T23" i="22"/>
  <c r="AB24" i="22"/>
  <c r="BM26" i="22"/>
  <c r="AK27" i="22"/>
  <c r="E28" i="22"/>
  <c r="E29" i="22"/>
  <c r="D31" i="22"/>
  <c r="AB31" i="22"/>
  <c r="AC36" i="22"/>
  <c r="AA36" i="22" s="1"/>
  <c r="F38" i="22"/>
  <c r="M40" i="22"/>
  <c r="BM44" i="22"/>
  <c r="E47" i="22"/>
  <c r="AC51" i="22"/>
  <c r="E15" i="22"/>
  <c r="BA15" i="22" s="1"/>
  <c r="BM25" i="22"/>
  <c r="D30" i="22"/>
  <c r="AC31" i="22"/>
  <c r="AB32" i="22"/>
  <c r="D37" i="22"/>
  <c r="M38" i="22"/>
  <c r="R41" i="22"/>
  <c r="R12" i="22" s="1"/>
  <c r="BM43" i="22"/>
  <c r="T47" i="22"/>
  <c r="AR47" i="22"/>
  <c r="BM14" i="22"/>
  <c r="M19" i="22"/>
  <c r="BM19" i="22"/>
  <c r="AR26" i="22"/>
  <c r="D36" i="22"/>
  <c r="AB36" i="22"/>
  <c r="AC40" i="22"/>
  <c r="AB46" i="22"/>
  <c r="AI12" i="22"/>
  <c r="AT12" i="22"/>
  <c r="D15" i="22"/>
  <c r="F17" i="22"/>
  <c r="M18" i="22"/>
  <c r="D21" i="22"/>
  <c r="E27" i="22"/>
  <c r="C27" i="22" s="1"/>
  <c r="AR29" i="22"/>
  <c r="AB34" i="22"/>
  <c r="AC35" i="22"/>
  <c r="BA35" i="22" s="1"/>
  <c r="AR38" i="22"/>
  <c r="D42" i="22"/>
  <c r="AK45" i="22"/>
  <c r="BJ46" i="22"/>
  <c r="AG12" i="22"/>
  <c r="J13" i="22"/>
  <c r="AB15" i="22"/>
  <c r="F16" i="22"/>
  <c r="AK17" i="22"/>
  <c r="AR20" i="22"/>
  <c r="AB21" i="22"/>
  <c r="AD22" i="22"/>
  <c r="E23" i="22"/>
  <c r="BM23" i="22"/>
  <c r="E26" i="22"/>
  <c r="F27" i="22"/>
  <c r="AK30" i="22"/>
  <c r="M32" i="22"/>
  <c r="BI32" i="22" s="1"/>
  <c r="M36" i="22"/>
  <c r="AB42" i="22"/>
  <c r="AZ42" i="22" s="1"/>
  <c r="AD43" i="22"/>
  <c r="AB44" i="22"/>
  <c r="BF44" i="22"/>
  <c r="AB47" i="22"/>
  <c r="BF48" i="22"/>
  <c r="E14" i="22"/>
  <c r="X13" i="22"/>
  <c r="U13" i="22"/>
  <c r="T14" i="22"/>
  <c r="D14" i="22"/>
  <c r="AZ16" i="22"/>
  <c r="BI14" i="22"/>
  <c r="T18" i="22"/>
  <c r="T38" i="22"/>
  <c r="D38" i="22"/>
  <c r="T44" i="22"/>
  <c r="M47" i="22"/>
  <c r="BM47" i="22"/>
  <c r="BN49" i="22"/>
  <c r="Q49" i="22"/>
  <c r="BM49" i="22" s="1"/>
  <c r="T51" i="22"/>
  <c r="D51" i="22"/>
  <c r="BA25" i="22"/>
  <c r="AR28" i="22"/>
  <c r="AB28" i="22"/>
  <c r="BD13" i="22"/>
  <c r="AB14" i="22"/>
  <c r="BC15" i="22"/>
  <c r="T17" i="22"/>
  <c r="D18" i="22"/>
  <c r="F29" i="22"/>
  <c r="BB29" i="22" s="1"/>
  <c r="D29" i="22"/>
  <c r="T37" i="22"/>
  <c r="AR40" i="22"/>
  <c r="T49" i="22"/>
  <c r="AR49" i="22"/>
  <c r="AB49" i="22"/>
  <c r="X43" i="22"/>
  <c r="X41" i="22" s="1"/>
  <c r="Y41" i="22"/>
  <c r="Y13" i="22"/>
  <c r="AO13" i="22"/>
  <c r="AC14" i="22"/>
  <c r="AB20" i="22"/>
  <c r="F23" i="22"/>
  <c r="D23" i="22"/>
  <c r="T35" i="22"/>
  <c r="D35" i="22"/>
  <c r="C35" i="22" s="1"/>
  <c r="AC37" i="22"/>
  <c r="AA37" i="22" s="1"/>
  <c r="BJ43" i="22"/>
  <c r="AL41" i="22"/>
  <c r="AK43" i="22"/>
  <c r="E48" i="22"/>
  <c r="AM12" i="22"/>
  <c r="AH13" i="22"/>
  <c r="AP13" i="22"/>
  <c r="AK23" i="22"/>
  <c r="BI23" i="22" s="1"/>
  <c r="BI29" i="22"/>
  <c r="AC34" i="22"/>
  <c r="E36" i="22"/>
  <c r="M43" i="22"/>
  <c r="F46" i="22"/>
  <c r="G41" i="22"/>
  <c r="BF46" i="22"/>
  <c r="AC46" i="22"/>
  <c r="BA46" i="22" s="1"/>
  <c r="BC51" i="22"/>
  <c r="AD51" i="22"/>
  <c r="BB51" i="22" s="1"/>
  <c r="AB51" i="22"/>
  <c r="V41" i="22"/>
  <c r="U46" i="22"/>
  <c r="T46" i="22" s="1"/>
  <c r="AE13" i="22"/>
  <c r="AC16" i="22"/>
  <c r="D17" i="22"/>
  <c r="AB17" i="22"/>
  <c r="F19" i="22"/>
  <c r="AR24" i="22"/>
  <c r="T27" i="22"/>
  <c r="AR33" i="22"/>
  <c r="AB33" i="22"/>
  <c r="E44" i="22"/>
  <c r="BA44" i="22" s="1"/>
  <c r="T45" i="22"/>
  <c r="AO41" i="22"/>
  <c r="BM48" i="22"/>
  <c r="D49" i="22"/>
  <c r="T50" i="22"/>
  <c r="D50" i="22"/>
  <c r="BC50" i="22"/>
  <c r="AD50" i="22"/>
  <c r="AB50" i="22"/>
  <c r="BK44" i="22"/>
  <c r="N44" i="22"/>
  <c r="BJ44" i="22" s="1"/>
  <c r="O41" i="22"/>
  <c r="O12" i="22" s="1"/>
  <c r="AS13" i="22"/>
  <c r="AB19" i="22"/>
  <c r="T20" i="22"/>
  <c r="AC23" i="22"/>
  <c r="AD26" i="22"/>
  <c r="AB26" i="22"/>
  <c r="AA26" i="22" s="1"/>
  <c r="F34" i="22"/>
  <c r="D34" i="22"/>
  <c r="E37" i="22"/>
  <c r="C37" i="22" s="1"/>
  <c r="D40" i="22"/>
  <c r="C40" i="22" s="1"/>
  <c r="BF42" i="22"/>
  <c r="AC42" i="22"/>
  <c r="AC45" i="22"/>
  <c r="AV41" i="22"/>
  <c r="BM46" i="22"/>
  <c r="F47" i="22"/>
  <c r="D47" i="22"/>
  <c r="BF47" i="22"/>
  <c r="AC47" i="22"/>
  <c r="T48" i="22"/>
  <c r="E49" i="22"/>
  <c r="BA49" i="22" s="1"/>
  <c r="BC20" i="22"/>
  <c r="AK25" i="22"/>
  <c r="BI25" i="22" s="1"/>
  <c r="F28" i="22"/>
  <c r="F33" i="22"/>
  <c r="AD35" i="22"/>
  <c r="AD38" i="22"/>
  <c r="AE41" i="22"/>
  <c r="F43" i="22"/>
  <c r="AK44" i="22"/>
  <c r="F48" i="22"/>
  <c r="Q50" i="22"/>
  <c r="BM50" i="22" s="1"/>
  <c r="Q51" i="22"/>
  <c r="E51" i="22" s="1"/>
  <c r="Q22" i="22"/>
  <c r="M22" i="22" s="1"/>
  <c r="F25" i="22"/>
  <c r="AD31" i="22"/>
  <c r="F37" i="22"/>
  <c r="AK37" i="22"/>
  <c r="AB40" i="22"/>
  <c r="Q42" i="22"/>
  <c r="AD42" i="22"/>
  <c r="Q45" i="22"/>
  <c r="M45" i="22" s="1"/>
  <c r="AB45" i="22"/>
  <c r="AR45" i="22"/>
  <c r="AD46" i="22"/>
  <c r="AD47" i="22"/>
  <c r="AK48" i="22"/>
  <c r="AK22" i="22"/>
  <c r="AB23" i="22"/>
  <c r="AR23" i="22"/>
  <c r="T26" i="22"/>
  <c r="AR37" i="22"/>
  <c r="BF43" i="22"/>
  <c r="BN47" i="22"/>
  <c r="AB48" i="22"/>
  <c r="BJ49" i="22"/>
  <c r="BJ50" i="22"/>
  <c r="BJ51" i="22"/>
  <c r="D24" i="22"/>
  <c r="AB27" i="22"/>
  <c r="AA27" i="22" s="1"/>
  <c r="AB29" i="22"/>
  <c r="AB30" i="22"/>
  <c r="D32" i="22"/>
  <c r="AB43" i="22"/>
  <c r="BC46" i="22"/>
  <c r="BN46" i="22"/>
  <c r="AD25" i="16"/>
  <c r="C27" i="16"/>
  <c r="AD83" i="16"/>
  <c r="N109" i="16"/>
  <c r="AB109" i="16" s="1"/>
  <c r="AE42" i="16"/>
  <c r="C80" i="16"/>
  <c r="Q14" i="16"/>
  <c r="Q13" i="16" s="1"/>
  <c r="Q12" i="16" s="1"/>
  <c r="W14" i="16"/>
  <c r="W13" i="16" s="1"/>
  <c r="W12" i="16" s="1"/>
  <c r="O14" i="16"/>
  <c r="F14" i="16"/>
  <c r="F13" i="16" s="1"/>
  <c r="F12" i="16" s="1"/>
  <c r="C42" i="16"/>
  <c r="C53" i="16"/>
  <c r="C55" i="16"/>
  <c r="C57" i="16"/>
  <c r="C61" i="16"/>
  <c r="C63" i="16"/>
  <c r="M14" i="16"/>
  <c r="H13" i="16"/>
  <c r="H12" i="16" s="1"/>
  <c r="AE17" i="16"/>
  <c r="C79" i="16"/>
  <c r="C84" i="16"/>
  <c r="C86" i="16"/>
  <c r="AD15" i="16"/>
  <c r="C20" i="16"/>
  <c r="N89" i="16"/>
  <c r="N102" i="16"/>
  <c r="AB102" i="16" s="1"/>
  <c r="AD27" i="16"/>
  <c r="C33" i="16"/>
  <c r="AB33" i="16" s="1"/>
  <c r="L13" i="16"/>
  <c r="L12" i="16" s="1"/>
  <c r="N33" i="16"/>
  <c r="AE33" i="16"/>
  <c r="AE46" i="16"/>
  <c r="C34" i="16"/>
  <c r="C65" i="16"/>
  <c r="C69" i="16"/>
  <c r="AB69" i="16" s="1"/>
  <c r="AD87" i="16"/>
  <c r="N19" i="16"/>
  <c r="AB19" i="16" s="1"/>
  <c r="AE26" i="16"/>
  <c r="C52" i="16"/>
  <c r="C54" i="16"/>
  <c r="C56" i="16"/>
  <c r="N65" i="16"/>
  <c r="AE69" i="16"/>
  <c r="AE96" i="16"/>
  <c r="AA12" i="16"/>
  <c r="AD16" i="16"/>
  <c r="AD62" i="16"/>
  <c r="AD82" i="16"/>
  <c r="AE95" i="16"/>
  <c r="N110" i="16"/>
  <c r="AB110" i="16" s="1"/>
  <c r="Z13" i="16"/>
  <c r="Z12" i="16" s="1"/>
  <c r="N101" i="16"/>
  <c r="AB101" i="16" s="1"/>
  <c r="AD36" i="16"/>
  <c r="AD43" i="16"/>
  <c r="N74" i="16"/>
  <c r="N78" i="16"/>
  <c r="P92" i="16"/>
  <c r="C24" i="16"/>
  <c r="C26" i="16"/>
  <c r="C29" i="16"/>
  <c r="AD40" i="16"/>
  <c r="C71" i="16"/>
  <c r="AB71" i="16" s="1"/>
  <c r="AB95" i="16"/>
  <c r="AD29" i="16"/>
  <c r="N39" i="16"/>
  <c r="N17" i="16"/>
  <c r="AE24" i="16"/>
  <c r="C41" i="16"/>
  <c r="C46" i="16"/>
  <c r="N85" i="16"/>
  <c r="N99" i="16"/>
  <c r="N25" i="16"/>
  <c r="AD64" i="16"/>
  <c r="D13" i="16"/>
  <c r="D12" i="16" s="1"/>
  <c r="AE23" i="16"/>
  <c r="C25" i="16"/>
  <c r="N48" i="16"/>
  <c r="N57" i="16"/>
  <c r="C59" i="16"/>
  <c r="N67" i="16"/>
  <c r="C81" i="16"/>
  <c r="C83" i="16"/>
  <c r="AD86" i="16"/>
  <c r="AD88" i="16"/>
  <c r="N96" i="16"/>
  <c r="AB96" i="16" s="1"/>
  <c r="AE98" i="16"/>
  <c r="AD105" i="16"/>
  <c r="C30" i="16"/>
  <c r="N40" i="16"/>
  <c r="AE45" i="16"/>
  <c r="C47" i="16"/>
  <c r="N52" i="16"/>
  <c r="AD57" i="16"/>
  <c r="C66" i="16"/>
  <c r="AB66" i="16" s="1"/>
  <c r="C70" i="16"/>
  <c r="N75" i="16"/>
  <c r="C85" i="16"/>
  <c r="N91" i="16"/>
  <c r="AD45" i="16"/>
  <c r="AD68" i="16"/>
  <c r="AE81" i="16"/>
  <c r="AD107" i="16"/>
  <c r="C39" i="16"/>
  <c r="C51" i="16"/>
  <c r="N54" i="16"/>
  <c r="C60" i="16"/>
  <c r="AB60" i="16" s="1"/>
  <c r="N68" i="16"/>
  <c r="N87" i="16"/>
  <c r="AE30" i="16"/>
  <c r="AD35" i="16"/>
  <c r="AD37" i="16"/>
  <c r="AD42" i="16"/>
  <c r="AE47" i="16"/>
  <c r="AD61" i="16"/>
  <c r="N72" i="16"/>
  <c r="AB72" i="16" s="1"/>
  <c r="AD76" i="16"/>
  <c r="C32" i="16"/>
  <c r="N51" i="16"/>
  <c r="I13" i="16"/>
  <c r="I12" i="16" s="1"/>
  <c r="N116" i="16"/>
  <c r="AD18" i="16"/>
  <c r="N44" i="16"/>
  <c r="AB44" i="16" s="1"/>
  <c r="N53" i="16"/>
  <c r="AB53" i="16" s="1"/>
  <c r="AD58" i="16"/>
  <c r="C77" i="16"/>
  <c r="AD84" i="16"/>
  <c r="N94" i="16"/>
  <c r="AB94" i="16" s="1"/>
  <c r="N108" i="16"/>
  <c r="AB108" i="16" s="1"/>
  <c r="N114" i="16"/>
  <c r="AD22" i="16"/>
  <c r="N22" i="16"/>
  <c r="AD28" i="16"/>
  <c r="N28" i="16"/>
  <c r="AB28" i="16" s="1"/>
  <c r="AD38" i="16"/>
  <c r="N38" i="16"/>
  <c r="AD32" i="16"/>
  <c r="N32" i="16"/>
  <c r="C18" i="16"/>
  <c r="C22" i="16"/>
  <c r="AB22" i="16" s="1"/>
  <c r="C28" i="16"/>
  <c r="C38" i="16"/>
  <c r="AD39" i="16"/>
  <c r="AE41" i="16"/>
  <c r="N45" i="16"/>
  <c r="C48" i="16"/>
  <c r="AB48" i="16" s="1"/>
  <c r="C67" i="16"/>
  <c r="AE71" i="16"/>
  <c r="C75" i="16"/>
  <c r="C82" i="16"/>
  <c r="N88" i="16"/>
  <c r="N100" i="16"/>
  <c r="N111" i="16"/>
  <c r="AB111" i="16" s="1"/>
  <c r="V12" i="16"/>
  <c r="AE25" i="16"/>
  <c r="AD33" i="16"/>
  <c r="C35" i="16"/>
  <c r="C37" i="16"/>
  <c r="C40" i="16"/>
  <c r="AD70" i="16"/>
  <c r="X92" i="16"/>
  <c r="X13" i="16" s="1"/>
  <c r="X12" i="16" s="1"/>
  <c r="E104" i="16"/>
  <c r="C104" i="16" s="1"/>
  <c r="N18" i="16"/>
  <c r="AD19" i="16"/>
  <c r="C43" i="16"/>
  <c r="C50" i="16"/>
  <c r="N55" i="16"/>
  <c r="AD56" i="16"/>
  <c r="N59" i="16"/>
  <c r="AD60" i="16"/>
  <c r="N63" i="16"/>
  <c r="N64" i="16"/>
  <c r="AB64" i="16" s="1"/>
  <c r="AD67" i="16"/>
  <c r="C74" i="16"/>
  <c r="N77" i="16"/>
  <c r="K92" i="16"/>
  <c r="K13" i="16" s="1"/>
  <c r="K12" i="16" s="1"/>
  <c r="Y13" i="16"/>
  <c r="Y12" i="16" s="1"/>
  <c r="P104" i="16"/>
  <c r="AB99" i="16"/>
  <c r="S12" i="16"/>
  <c r="N21" i="16"/>
  <c r="AB21" i="16" s="1"/>
  <c r="AD44" i="16"/>
  <c r="AE99" i="16"/>
  <c r="C16" i="16"/>
  <c r="AE22" i="16"/>
  <c r="N27" i="16"/>
  <c r="N31" i="16"/>
  <c r="AB31" i="16" s="1"/>
  <c r="AE32" i="16"/>
  <c r="AD55" i="16"/>
  <c r="AB58" i="16"/>
  <c r="AD59" i="16"/>
  <c r="N62" i="16"/>
  <c r="AB62" i="16" s="1"/>
  <c r="AD63" i="16"/>
  <c r="C68" i="16"/>
  <c r="N79" i="16"/>
  <c r="N84" i="16"/>
  <c r="AE93" i="16"/>
  <c r="AE94" i="16"/>
  <c r="N112" i="16"/>
  <c r="AB112" i="16" s="1"/>
  <c r="M13" i="16"/>
  <c r="M12" i="16" s="1"/>
  <c r="N16" i="16"/>
  <c r="C36" i="16"/>
  <c r="AE37" i="16"/>
  <c r="C45" i="16"/>
  <c r="C49" i="16"/>
  <c r="AB49" i="16" s="1"/>
  <c r="C73" i="16"/>
  <c r="AB73" i="16" s="1"/>
  <c r="AD74" i="16"/>
  <c r="AD81" i="16"/>
  <c r="N83" i="16"/>
  <c r="C88" i="16"/>
  <c r="N97" i="16"/>
  <c r="AB97" i="16" s="1"/>
  <c r="R13" i="16"/>
  <c r="R12" i="16" s="1"/>
  <c r="C23" i="16"/>
  <c r="N42" i="16"/>
  <c r="AB42" i="16" s="1"/>
  <c r="AB61" i="16"/>
  <c r="AE100" i="16"/>
  <c r="N115" i="16"/>
  <c r="C15" i="16"/>
  <c r="N24" i="16"/>
  <c r="AD24" i="16"/>
  <c r="AD34" i="16"/>
  <c r="N46" i="16"/>
  <c r="AD46" i="16"/>
  <c r="AE15" i="16"/>
  <c r="N23" i="16"/>
  <c r="AD23" i="16"/>
  <c r="AE29" i="16"/>
  <c r="N29" i="16"/>
  <c r="AD41" i="16"/>
  <c r="N41" i="16"/>
  <c r="N26" i="16"/>
  <c r="AB26" i="16" s="1"/>
  <c r="AD26" i="16"/>
  <c r="N30" i="16"/>
  <c r="AD30" i="16"/>
  <c r="N47" i="16"/>
  <c r="AD47" i="16"/>
  <c r="N20" i="16"/>
  <c r="AB20" i="16" s="1"/>
  <c r="AD20" i="16"/>
  <c r="N15" i="16"/>
  <c r="E17" i="16"/>
  <c r="E14" i="16" s="1"/>
  <c r="U34" i="16"/>
  <c r="AE34" i="16" s="1"/>
  <c r="N35" i="16"/>
  <c r="N36" i="16"/>
  <c r="N37" i="16"/>
  <c r="N43" i="16"/>
  <c r="AB43" i="16" s="1"/>
  <c r="N76" i="16"/>
  <c r="AB76" i="16" s="1"/>
  <c r="N81" i="16"/>
  <c r="N82" i="16"/>
  <c r="AD85" i="16"/>
  <c r="C87" i="16"/>
  <c r="O92" i="16"/>
  <c r="N93" i="16"/>
  <c r="C106" i="16"/>
  <c r="AD106" i="16"/>
  <c r="AD21" i="16"/>
  <c r="N86" i="16"/>
  <c r="C100" i="16"/>
  <c r="AE101" i="16"/>
  <c r="C107" i="16"/>
  <c r="AE27" i="16"/>
  <c r="AE102" i="16"/>
  <c r="AD31" i="16"/>
  <c r="U92" i="16"/>
  <c r="C93" i="16"/>
  <c r="E10" i="3"/>
  <c r="E9" i="3" s="1"/>
  <c r="C11" i="3"/>
  <c r="E37" i="3"/>
  <c r="E32" i="3" s="1"/>
  <c r="C10" i="3"/>
  <c r="G38" i="3"/>
  <c r="F34" i="3"/>
  <c r="F33" i="3" s="1"/>
  <c r="F32" i="3" s="1"/>
  <c r="D9" i="3"/>
  <c r="F39" i="3"/>
  <c r="D42" i="3"/>
  <c r="F43" i="3"/>
  <c r="C10" i="4"/>
  <c r="C8" i="4" s="1"/>
  <c r="D10" i="4"/>
  <c r="D8" i="4" s="1"/>
  <c r="AB70" i="16" l="1"/>
  <c r="AB57" i="16"/>
  <c r="AA29" i="22"/>
  <c r="C34" i="22"/>
  <c r="AA19" i="22"/>
  <c r="AB35" i="16"/>
  <c r="AB50" i="16"/>
  <c r="BI45" i="22"/>
  <c r="AS12" i="22"/>
  <c r="BA29" i="22"/>
  <c r="AA25" i="22"/>
  <c r="N13" i="22"/>
  <c r="AB37" i="16"/>
  <c r="AA23" i="22"/>
  <c r="C38" i="22"/>
  <c r="AB27" i="16"/>
  <c r="AB63" i="16"/>
  <c r="C47" i="22"/>
  <c r="C28" i="22"/>
  <c r="BF41" i="22"/>
  <c r="C42" i="3"/>
  <c r="D38" i="3"/>
  <c r="BB14" i="22"/>
  <c r="C20" i="22"/>
  <c r="BB45" i="22"/>
  <c r="AA18" i="22"/>
  <c r="BI26" i="22"/>
  <c r="BI48" i="22"/>
  <c r="AA40" i="22"/>
  <c r="AA22" i="22"/>
  <c r="AA17" i="22"/>
  <c r="C17" i="22"/>
  <c r="BD12" i="22"/>
  <c r="BI19" i="22"/>
  <c r="BI27" i="22"/>
  <c r="BA19" i="22"/>
  <c r="C30" i="22"/>
  <c r="BB44" i="22"/>
  <c r="BB48" i="22"/>
  <c r="BN41" i="22"/>
  <c r="BA32" i="22"/>
  <c r="AA38" i="22"/>
  <c r="AA33" i="22"/>
  <c r="J12" i="22"/>
  <c r="AA32" i="22"/>
  <c r="C25" i="22"/>
  <c r="AR41" i="22"/>
  <c r="C23" i="22"/>
  <c r="AY23" i="22" s="1"/>
  <c r="BB15" i="22"/>
  <c r="C36" i="22"/>
  <c r="AY36" i="22" s="1"/>
  <c r="C48" i="22"/>
  <c r="BA20" i="22"/>
  <c r="BB49" i="22"/>
  <c r="BG12" i="22"/>
  <c r="BA27" i="22"/>
  <c r="BA38" i="22"/>
  <c r="BA21" i="22"/>
  <c r="BI21" i="22"/>
  <c r="AA24" i="22"/>
  <c r="BJ13" i="22"/>
  <c r="C21" i="22"/>
  <c r="C32" i="22"/>
  <c r="AA35" i="22"/>
  <c r="AY35" i="22" s="1"/>
  <c r="AA30" i="22"/>
  <c r="AY30" i="22" s="1"/>
  <c r="BA23" i="22"/>
  <c r="AZ15" i="22"/>
  <c r="C31" i="22"/>
  <c r="BA30" i="22"/>
  <c r="AA44" i="22"/>
  <c r="AY44" i="22" s="1"/>
  <c r="BA24" i="22"/>
  <c r="M13" i="22"/>
  <c r="BB50" i="22"/>
  <c r="AA21" i="22"/>
  <c r="BA16" i="22"/>
  <c r="C18" i="22"/>
  <c r="AY18" i="22" s="1"/>
  <c r="C16" i="22"/>
  <c r="AA15" i="22"/>
  <c r="BA31" i="22"/>
  <c r="C24" i="22"/>
  <c r="T43" i="22"/>
  <c r="T41" i="22" s="1"/>
  <c r="C29" i="22"/>
  <c r="AY29" i="22" s="1"/>
  <c r="BA47" i="22"/>
  <c r="V12" i="22"/>
  <c r="BB43" i="22"/>
  <c r="AY19" i="22"/>
  <c r="BI47" i="22"/>
  <c r="AZ21" i="22"/>
  <c r="BC41" i="22"/>
  <c r="Y12" i="22"/>
  <c r="BI46" i="22"/>
  <c r="BM51" i="22"/>
  <c r="C26" i="22"/>
  <c r="BA28" i="22"/>
  <c r="M51" i="22"/>
  <c r="BI51" i="22" s="1"/>
  <c r="AV12" i="22"/>
  <c r="M49" i="22"/>
  <c r="BI49" i="22" s="1"/>
  <c r="AY27" i="22"/>
  <c r="BA48" i="22"/>
  <c r="BB46" i="22"/>
  <c r="AA47" i="22"/>
  <c r="AA28" i="22"/>
  <c r="AY28" i="22" s="1"/>
  <c r="AY26" i="22"/>
  <c r="F13" i="22"/>
  <c r="BA26" i="22"/>
  <c r="AA31" i="22"/>
  <c r="AD13" i="22"/>
  <c r="BA18" i="22"/>
  <c r="AR13" i="22"/>
  <c r="AR12" i="22" s="1"/>
  <c r="G12" i="22"/>
  <c r="BA51" i="22"/>
  <c r="E43" i="22"/>
  <c r="D44" i="22"/>
  <c r="C44" i="22" s="1"/>
  <c r="BI22" i="22"/>
  <c r="AY33" i="22"/>
  <c r="C15" i="22"/>
  <c r="AY37" i="22"/>
  <c r="BM45" i="22"/>
  <c r="AE12" i="22"/>
  <c r="BC13" i="22"/>
  <c r="AP12" i="22"/>
  <c r="BN13" i="22"/>
  <c r="M50" i="22"/>
  <c r="BI50" i="22" s="1"/>
  <c r="AZ47" i="22"/>
  <c r="AD41" i="22"/>
  <c r="BB42" i="22"/>
  <c r="AH12" i="22"/>
  <c r="BF13" i="22"/>
  <c r="Q13" i="22"/>
  <c r="BM13" i="22" s="1"/>
  <c r="D13" i="22"/>
  <c r="C14" i="22"/>
  <c r="E22" i="22"/>
  <c r="Q41" i="22"/>
  <c r="BM41" i="22" s="1"/>
  <c r="E42" i="22"/>
  <c r="BM42" i="22"/>
  <c r="E50" i="22"/>
  <c r="BA50" i="22" s="1"/>
  <c r="BA34" i="22"/>
  <c r="AA34" i="22"/>
  <c r="AY34" i="22" s="1"/>
  <c r="BK12" i="22"/>
  <c r="AL12" i="22"/>
  <c r="E45" i="22"/>
  <c r="C45" i="22" s="1"/>
  <c r="T13" i="22"/>
  <c r="D46" i="22"/>
  <c r="AA46" i="22"/>
  <c r="AZ18" i="22"/>
  <c r="BB47" i="22"/>
  <c r="U41" i="22"/>
  <c r="U12" i="22" s="1"/>
  <c r="N41" i="22"/>
  <c r="M44" i="22"/>
  <c r="BI44" i="22" s="1"/>
  <c r="AY25" i="22"/>
  <c r="AA51" i="22"/>
  <c r="AZ51" i="22"/>
  <c r="AZ32" i="22"/>
  <c r="C51" i="22"/>
  <c r="M42" i="22"/>
  <c r="BM22" i="22"/>
  <c r="C49" i="22"/>
  <c r="BK41" i="22"/>
  <c r="AZ20" i="22"/>
  <c r="AA20" i="22"/>
  <c r="AA16" i="22"/>
  <c r="AY16" i="22" s="1"/>
  <c r="X12" i="22"/>
  <c r="AA43" i="22"/>
  <c r="AZ43" i="22"/>
  <c r="F41" i="22"/>
  <c r="AC41" i="22"/>
  <c r="AB41" i="22"/>
  <c r="BA36" i="22"/>
  <c r="BA14" i="22"/>
  <c r="AC13" i="22"/>
  <c r="AB13" i="22"/>
  <c r="AA14" i="22"/>
  <c r="AK13" i="22"/>
  <c r="E13" i="22"/>
  <c r="AZ48" i="22"/>
  <c r="AA48" i="22"/>
  <c r="AZ45" i="22"/>
  <c r="AA45" i="22"/>
  <c r="AA42" i="22"/>
  <c r="AA50" i="22"/>
  <c r="AZ50" i="22"/>
  <c r="BI43" i="22"/>
  <c r="AK41" i="22"/>
  <c r="BA37" i="22"/>
  <c r="AO12" i="22"/>
  <c r="AZ49" i="22"/>
  <c r="AA49" i="22"/>
  <c r="AB41" i="16"/>
  <c r="AB16" i="16"/>
  <c r="AB55" i="16"/>
  <c r="AB51" i="16"/>
  <c r="U14" i="16"/>
  <c r="AB25" i="16"/>
  <c r="AB32" i="16"/>
  <c r="AB23" i="16"/>
  <c r="AB39" i="16"/>
  <c r="AB68" i="16"/>
  <c r="AB74" i="16"/>
  <c r="AB67" i="16"/>
  <c r="AB47" i="16"/>
  <c r="AB46" i="16"/>
  <c r="AB52" i="16"/>
  <c r="AB40" i="16"/>
  <c r="AB29" i="16"/>
  <c r="C92" i="16"/>
  <c r="AE92" i="16"/>
  <c r="AB59" i="16"/>
  <c r="AB24" i="16"/>
  <c r="AB30" i="16"/>
  <c r="AB100" i="16"/>
  <c r="AB36" i="16"/>
  <c r="AB38" i="16"/>
  <c r="AB45" i="16"/>
  <c r="AD104" i="16"/>
  <c r="AB18" i="16"/>
  <c r="N92" i="16"/>
  <c r="AB92" i="16" s="1"/>
  <c r="AC92" i="16"/>
  <c r="P13" i="16"/>
  <c r="C17" i="16"/>
  <c r="AB17" i="16" s="1"/>
  <c r="N34" i="16"/>
  <c r="AB15" i="16"/>
  <c r="O13" i="16"/>
  <c r="AC14" i="16"/>
  <c r="AD17" i="16"/>
  <c r="AB93" i="16"/>
  <c r="G37" i="3"/>
  <c r="G32" i="3" s="1"/>
  <c r="G12" i="3"/>
  <c r="C38" i="3"/>
  <c r="D37" i="3"/>
  <c r="C9" i="3"/>
  <c r="H32" i="3"/>
  <c r="E8" i="3"/>
  <c r="AY48" i="22" l="1"/>
  <c r="AY38" i="22"/>
  <c r="N12" i="22"/>
  <c r="BJ12" i="22" s="1"/>
  <c r="AY47" i="22"/>
  <c r="AY20" i="22"/>
  <c r="AY15" i="22"/>
  <c r="AB34" i="16"/>
  <c r="N14" i="16"/>
  <c r="AY17" i="22"/>
  <c r="AY32" i="22"/>
  <c r="AY21" i="22"/>
  <c r="AY24" i="22"/>
  <c r="AZ44" i="22"/>
  <c r="BN12" i="22"/>
  <c r="BF12" i="22"/>
  <c r="AY31" i="22"/>
  <c r="F12" i="22"/>
  <c r="AY51" i="22"/>
  <c r="BB13" i="22"/>
  <c r="AY45" i="22"/>
  <c r="BC12" i="22"/>
  <c r="T12" i="22"/>
  <c r="AD12" i="22"/>
  <c r="C43" i="22"/>
  <c r="AY43" i="22" s="1"/>
  <c r="BA43" i="22"/>
  <c r="BB41" i="22"/>
  <c r="AY14" i="22"/>
  <c r="AA13" i="22"/>
  <c r="E41" i="22"/>
  <c r="BA41" i="22" s="1"/>
  <c r="C42" i="22"/>
  <c r="AZ13" i="22"/>
  <c r="AB12" i="22"/>
  <c r="BA13" i="22"/>
  <c r="AC12" i="22"/>
  <c r="BA22" i="22"/>
  <c r="C22" i="22"/>
  <c r="AY22" i="22" s="1"/>
  <c r="AA41" i="22"/>
  <c r="BJ41" i="22"/>
  <c r="C46" i="22"/>
  <c r="AY46" i="22" s="1"/>
  <c r="AZ46" i="22"/>
  <c r="C50" i="22"/>
  <c r="AY50" i="22" s="1"/>
  <c r="Q12" i="22"/>
  <c r="M41" i="22"/>
  <c r="M12" i="22" s="1"/>
  <c r="BI42" i="22"/>
  <c r="AY49" i="22"/>
  <c r="BI13" i="22"/>
  <c r="AK12" i="22"/>
  <c r="BA42" i="22"/>
  <c r="BA45" i="22"/>
  <c r="D41" i="22"/>
  <c r="AZ41" i="22" s="1"/>
  <c r="AD14" i="16"/>
  <c r="C14" i="16"/>
  <c r="E13" i="16"/>
  <c r="AD13" i="16" s="1"/>
  <c r="P12" i="16"/>
  <c r="U13" i="16"/>
  <c r="AE14" i="16"/>
  <c r="AC13" i="16"/>
  <c r="O12" i="16"/>
  <c r="AC12" i="16" s="1"/>
  <c r="H12" i="3"/>
  <c r="H11" i="3" s="1"/>
  <c r="H10" i="3" s="1"/>
  <c r="H9" i="3" s="1"/>
  <c r="G11" i="3"/>
  <c r="G10" i="3" s="1"/>
  <c r="G9" i="3" s="1"/>
  <c r="C37" i="3"/>
  <c r="D32" i="3"/>
  <c r="G8" i="3" l="1"/>
  <c r="H8" i="3" s="1"/>
  <c r="BB12" i="22"/>
  <c r="BM12" i="22"/>
  <c r="C41" i="22"/>
  <c r="AY41" i="22" s="1"/>
  <c r="D12" i="22"/>
  <c r="AA12" i="22"/>
  <c r="C13" i="22"/>
  <c r="E12" i="22"/>
  <c r="BI41" i="22"/>
  <c r="AY42" i="22"/>
  <c r="BI12" i="22"/>
  <c r="E12" i="16"/>
  <c r="C12" i="16" s="1"/>
  <c r="C13" i="16"/>
  <c r="U12" i="16"/>
  <c r="AE12" i="16" s="1"/>
  <c r="AE13" i="16"/>
  <c r="N13" i="16"/>
  <c r="AB14" i="16"/>
  <c r="C32" i="3"/>
  <c r="D8" i="3"/>
  <c r="C8" i="3" s="1"/>
  <c r="AZ12" i="22" l="1"/>
  <c r="BA12" i="22"/>
  <c r="C12" i="22"/>
  <c r="AY12" i="22" s="1"/>
  <c r="AY13" i="22"/>
  <c r="AB13" i="16"/>
  <c r="N12" i="16"/>
  <c r="AB12" i="16" s="1"/>
  <c r="AD12" i="16"/>
  <c r="S13" i="6" l="1"/>
  <c r="R15" i="6"/>
  <c r="D10" i="6"/>
  <c r="F10" i="6"/>
  <c r="G10" i="6"/>
  <c r="H10" i="6"/>
  <c r="J10" i="6"/>
  <c r="L10" i="6"/>
  <c r="R10" i="6" s="1"/>
  <c r="M10" i="6"/>
  <c r="N10" i="6"/>
  <c r="E11" i="6"/>
  <c r="C11" i="6" s="1"/>
  <c r="K11" i="6"/>
  <c r="Q11" i="6" s="1"/>
  <c r="P11" i="6"/>
  <c r="R11" i="6"/>
  <c r="E12" i="6"/>
  <c r="C12" i="6" s="1"/>
  <c r="K12" i="6"/>
  <c r="I12" i="6" s="1"/>
  <c r="P12" i="6"/>
  <c r="R12" i="6"/>
  <c r="E13" i="6"/>
  <c r="C13" i="6" s="1"/>
  <c r="K13" i="6"/>
  <c r="I13" i="6" s="1"/>
  <c r="P13" i="6"/>
  <c r="R13" i="6"/>
  <c r="E14" i="6"/>
  <c r="C14" i="6" s="1"/>
  <c r="K14" i="6"/>
  <c r="I14" i="6" s="1"/>
  <c r="P14" i="6"/>
  <c r="R14" i="6"/>
  <c r="E15" i="6"/>
  <c r="C15" i="6" s="1"/>
  <c r="K15" i="6"/>
  <c r="I15" i="6" s="1"/>
  <c r="P15" i="6"/>
  <c r="E16" i="6"/>
  <c r="C16" i="6" s="1"/>
  <c r="K16" i="6"/>
  <c r="I16" i="6" s="1"/>
  <c r="P16" i="6"/>
  <c r="R16" i="6"/>
  <c r="E17" i="6"/>
  <c r="C17" i="6" s="1"/>
  <c r="K17" i="6"/>
  <c r="I17" i="6" s="1"/>
  <c r="P17" i="6"/>
  <c r="R17" i="6"/>
  <c r="E18" i="6"/>
  <c r="C18" i="6" s="1"/>
  <c r="K18" i="6"/>
  <c r="I18" i="6" s="1"/>
  <c r="P18" i="6"/>
  <c r="R18" i="6"/>
  <c r="E19" i="6"/>
  <c r="C19" i="6" s="1"/>
  <c r="K19" i="6"/>
  <c r="I19" i="6" s="1"/>
  <c r="P19" i="6"/>
  <c r="R19" i="6"/>
  <c r="E20" i="6"/>
  <c r="C20" i="6" s="1"/>
  <c r="K20" i="6"/>
  <c r="I20" i="6" s="1"/>
  <c r="P20" i="6"/>
  <c r="R20" i="6"/>
  <c r="E37" i="4"/>
  <c r="E26" i="4"/>
  <c r="E16" i="4"/>
  <c r="E20" i="4"/>
  <c r="E28" i="4"/>
  <c r="E32" i="4"/>
  <c r="E36" i="4"/>
  <c r="E42" i="4"/>
  <c r="E14" i="4"/>
  <c r="E15" i="4"/>
  <c r="E17" i="4"/>
  <c r="E18" i="4"/>
  <c r="E19" i="4"/>
  <c r="E21" i="4"/>
  <c r="E22" i="4"/>
  <c r="E23" i="4"/>
  <c r="E24" i="4"/>
  <c r="E25" i="4"/>
  <c r="E29" i="4"/>
  <c r="E30" i="4"/>
  <c r="E31" i="4"/>
  <c r="E33" i="4"/>
  <c r="E34" i="4"/>
  <c r="E35" i="4"/>
  <c r="E38" i="4"/>
  <c r="E39" i="4"/>
  <c r="E40" i="4"/>
  <c r="E41" i="4"/>
  <c r="E43" i="4"/>
  <c r="Q18" i="6" l="1"/>
  <c r="P10" i="6"/>
  <c r="O17" i="6"/>
  <c r="O20" i="6"/>
  <c r="Q15" i="6"/>
  <c r="Q19" i="6"/>
  <c r="K10" i="6"/>
  <c r="I11" i="6"/>
  <c r="I10" i="6" s="1"/>
  <c r="Q20" i="6"/>
  <c r="Q12" i="6"/>
  <c r="O18" i="6"/>
  <c r="Q16" i="6"/>
  <c r="O15" i="6"/>
  <c r="Q13" i="6"/>
  <c r="Q17" i="6"/>
  <c r="Q14" i="6"/>
  <c r="O13" i="6"/>
  <c r="O12" i="6"/>
  <c r="O14" i="6"/>
  <c r="C10" i="6"/>
  <c r="O16" i="6"/>
  <c r="O19" i="6"/>
  <c r="E10" i="6"/>
  <c r="E11" i="4"/>
  <c r="E12" i="4"/>
  <c r="E10" i="4"/>
  <c r="E9" i="4"/>
  <c r="Q10" i="6" l="1"/>
  <c r="O11" i="6"/>
  <c r="O10" i="6"/>
  <c r="E8" i="4"/>
  <c r="D42" i="1" l="1"/>
  <c r="C42" i="1"/>
  <c r="E23" i="18" l="1"/>
  <c r="F23" i="18"/>
  <c r="E29" i="1" l="1"/>
  <c r="E30" i="1"/>
  <c r="E31" i="1"/>
  <c r="E32" i="1"/>
  <c r="D23" i="1"/>
  <c r="D22" i="1" s="1"/>
  <c r="C23" i="1"/>
  <c r="C22" i="1" s="1"/>
  <c r="D33" i="1"/>
  <c r="AA118" i="19"/>
  <c r="AA11" i="19" s="1"/>
  <c r="U118" i="19"/>
  <c r="K118" i="19"/>
  <c r="C118" i="19" s="1"/>
  <c r="X117" i="19"/>
  <c r="U117" i="19"/>
  <c r="K117" i="19"/>
  <c r="C117" i="19"/>
  <c r="U116" i="19"/>
  <c r="K116" i="19"/>
  <c r="N115" i="19"/>
  <c r="C115" i="19"/>
  <c r="N114" i="19"/>
  <c r="C114" i="19"/>
  <c r="X113" i="19"/>
  <c r="N113" i="19" s="1"/>
  <c r="U113" i="19"/>
  <c r="K113" i="19"/>
  <c r="C113" i="19" s="1"/>
  <c r="X112" i="19"/>
  <c r="U112" i="19"/>
  <c r="T112" i="19"/>
  <c r="P112" i="19"/>
  <c r="K112" i="19"/>
  <c r="C112" i="19" s="1"/>
  <c r="X111" i="19"/>
  <c r="U111" i="19"/>
  <c r="S111" i="19"/>
  <c r="K111" i="19"/>
  <c r="C111" i="19" s="1"/>
  <c r="AC110" i="19"/>
  <c r="E110" i="19"/>
  <c r="F109" i="19"/>
  <c r="E108" i="19"/>
  <c r="AD108" i="19" s="1"/>
  <c r="E107" i="19"/>
  <c r="C107" i="19"/>
  <c r="E106" i="19"/>
  <c r="C106" i="19" s="1"/>
  <c r="E105" i="19"/>
  <c r="E104" i="19"/>
  <c r="K102" i="19"/>
  <c r="C102" i="19"/>
  <c r="AC101" i="19"/>
  <c r="X101" i="19"/>
  <c r="U101" i="19"/>
  <c r="N101" i="19"/>
  <c r="K101" i="19"/>
  <c r="C101" i="19"/>
  <c r="AC100" i="19"/>
  <c r="X100" i="19"/>
  <c r="U100" i="19"/>
  <c r="K100" i="19"/>
  <c r="AC99" i="19"/>
  <c r="X99" i="19"/>
  <c r="U99" i="19"/>
  <c r="K99" i="19"/>
  <c r="AC98" i="19"/>
  <c r="X98" i="19"/>
  <c r="U98" i="19"/>
  <c r="K98" i="19"/>
  <c r="AC97" i="19"/>
  <c r="X97" i="19"/>
  <c r="U97" i="19"/>
  <c r="K97" i="19"/>
  <c r="AC96" i="19"/>
  <c r="X96" i="19"/>
  <c r="U96" i="19"/>
  <c r="K96" i="19"/>
  <c r="AC95" i="19"/>
  <c r="X95" i="19"/>
  <c r="U95" i="19"/>
  <c r="N95" i="19"/>
  <c r="K95" i="19"/>
  <c r="C95" i="19" s="1"/>
  <c r="AC94" i="19"/>
  <c r="X94" i="19"/>
  <c r="U94" i="19"/>
  <c r="K94" i="19"/>
  <c r="C94" i="19"/>
  <c r="AC93" i="19"/>
  <c r="X93" i="19"/>
  <c r="U93" i="19"/>
  <c r="N93" i="19"/>
  <c r="K93" i="19"/>
  <c r="C93" i="19"/>
  <c r="AC92" i="19"/>
  <c r="X92" i="19"/>
  <c r="U92" i="19"/>
  <c r="K92" i="19"/>
  <c r="Z91" i="19"/>
  <c r="Y91" i="19"/>
  <c r="V91" i="19"/>
  <c r="O91" i="19"/>
  <c r="M91" i="19"/>
  <c r="L91" i="19"/>
  <c r="J91" i="19"/>
  <c r="I91" i="19"/>
  <c r="E91" i="19"/>
  <c r="D91" i="19"/>
  <c r="U90" i="19"/>
  <c r="R90" i="19"/>
  <c r="P90" i="19" s="1"/>
  <c r="O90" i="19"/>
  <c r="K90" i="19"/>
  <c r="E90" i="19"/>
  <c r="P89" i="19"/>
  <c r="E89" i="19"/>
  <c r="U88" i="19"/>
  <c r="P88" i="19"/>
  <c r="K88" i="19"/>
  <c r="E88" i="19"/>
  <c r="U87" i="19"/>
  <c r="P87" i="19"/>
  <c r="K87" i="19"/>
  <c r="E87" i="19"/>
  <c r="U86" i="19"/>
  <c r="P86" i="19"/>
  <c r="K86" i="19"/>
  <c r="E86" i="19"/>
  <c r="U85" i="19"/>
  <c r="P85" i="19"/>
  <c r="K85" i="19"/>
  <c r="E85" i="19"/>
  <c r="U84" i="19"/>
  <c r="P84" i="19"/>
  <c r="N84" i="19" s="1"/>
  <c r="K84" i="19"/>
  <c r="E84" i="19"/>
  <c r="U83" i="19"/>
  <c r="P83" i="19"/>
  <c r="K83" i="19"/>
  <c r="H83" i="19"/>
  <c r="U82" i="19"/>
  <c r="P82" i="19"/>
  <c r="K82" i="19"/>
  <c r="E82" i="19"/>
  <c r="C82" i="19"/>
  <c r="U81" i="19"/>
  <c r="P81" i="19"/>
  <c r="K81" i="19"/>
  <c r="E81" i="19"/>
  <c r="U80" i="19"/>
  <c r="R80" i="19"/>
  <c r="P80" i="19" s="1"/>
  <c r="K80" i="19"/>
  <c r="E80" i="19"/>
  <c r="AC79" i="19"/>
  <c r="U79" i="19"/>
  <c r="P79" i="19"/>
  <c r="N79" i="19"/>
  <c r="K79" i="19"/>
  <c r="E79" i="19"/>
  <c r="AC78" i="19"/>
  <c r="U78" i="19"/>
  <c r="P78" i="19"/>
  <c r="K78" i="19"/>
  <c r="E78" i="19"/>
  <c r="AC77" i="19"/>
  <c r="U77" i="19"/>
  <c r="P77" i="19"/>
  <c r="K77" i="19"/>
  <c r="E77" i="19"/>
  <c r="AC76" i="19"/>
  <c r="U76" i="19"/>
  <c r="P76" i="19"/>
  <c r="K76" i="19"/>
  <c r="E76" i="19"/>
  <c r="AC75" i="19"/>
  <c r="U75" i="19"/>
  <c r="P75" i="19"/>
  <c r="K75" i="19"/>
  <c r="E75" i="19"/>
  <c r="AC74" i="19"/>
  <c r="U74" i="19"/>
  <c r="N74" i="19" s="1"/>
  <c r="P74" i="19"/>
  <c r="K74" i="19"/>
  <c r="E74" i="19"/>
  <c r="AC73" i="19"/>
  <c r="U73" i="19"/>
  <c r="P73" i="19"/>
  <c r="K73" i="19"/>
  <c r="E73" i="19"/>
  <c r="AC72" i="19"/>
  <c r="U72" i="19"/>
  <c r="P72" i="19"/>
  <c r="N72" i="19" s="1"/>
  <c r="K72" i="19"/>
  <c r="E72" i="19"/>
  <c r="AC71" i="19"/>
  <c r="U71" i="19"/>
  <c r="P71" i="19"/>
  <c r="K71" i="19"/>
  <c r="E71" i="19"/>
  <c r="AC70" i="19"/>
  <c r="U70" i="19"/>
  <c r="P70" i="19"/>
  <c r="K70" i="19"/>
  <c r="E70" i="19"/>
  <c r="AC69" i="19"/>
  <c r="U69" i="19"/>
  <c r="P69" i="19"/>
  <c r="K69" i="19"/>
  <c r="E69" i="19"/>
  <c r="AC68" i="19"/>
  <c r="U68" i="19"/>
  <c r="P68" i="19"/>
  <c r="K68" i="19"/>
  <c r="E68" i="19"/>
  <c r="AC67" i="19"/>
  <c r="U67" i="19"/>
  <c r="P67" i="19"/>
  <c r="K67" i="19"/>
  <c r="E67" i="19"/>
  <c r="U66" i="19"/>
  <c r="P66" i="19"/>
  <c r="K66" i="19"/>
  <c r="E66" i="19"/>
  <c r="U65" i="19"/>
  <c r="P65" i="19"/>
  <c r="K65" i="19"/>
  <c r="E65" i="19"/>
  <c r="U64" i="19"/>
  <c r="P64" i="19"/>
  <c r="K64" i="19"/>
  <c r="E64" i="19"/>
  <c r="U63" i="19"/>
  <c r="P63" i="19"/>
  <c r="K63" i="19"/>
  <c r="E63" i="19"/>
  <c r="U62" i="19"/>
  <c r="P62" i="19"/>
  <c r="K62" i="19"/>
  <c r="E62" i="19"/>
  <c r="U61" i="19"/>
  <c r="P61" i="19"/>
  <c r="K61" i="19"/>
  <c r="E61" i="19"/>
  <c r="C61" i="19" s="1"/>
  <c r="U60" i="19"/>
  <c r="P60" i="19"/>
  <c r="K60" i="19"/>
  <c r="E60" i="19"/>
  <c r="U59" i="19"/>
  <c r="P59" i="19"/>
  <c r="K59" i="19"/>
  <c r="E59" i="19"/>
  <c r="U58" i="19"/>
  <c r="P58" i="19"/>
  <c r="K58" i="19"/>
  <c r="E58" i="19"/>
  <c r="U57" i="19"/>
  <c r="P57" i="19"/>
  <c r="K57" i="19"/>
  <c r="E57" i="19"/>
  <c r="U56" i="19"/>
  <c r="P56" i="19"/>
  <c r="K56" i="19"/>
  <c r="E56" i="19"/>
  <c r="U55" i="19"/>
  <c r="Q55" i="19"/>
  <c r="K55" i="19"/>
  <c r="E55" i="19"/>
  <c r="U54" i="19"/>
  <c r="P54" i="19"/>
  <c r="K54" i="19"/>
  <c r="E54" i="19"/>
  <c r="U53" i="19"/>
  <c r="P53" i="19"/>
  <c r="N53" i="19"/>
  <c r="K53" i="19"/>
  <c r="E53" i="19"/>
  <c r="U52" i="19"/>
  <c r="P52" i="19"/>
  <c r="K52" i="19"/>
  <c r="E52" i="19"/>
  <c r="U51" i="19"/>
  <c r="P51" i="19"/>
  <c r="K51" i="19"/>
  <c r="E51" i="19"/>
  <c r="U50" i="19"/>
  <c r="P50" i="19"/>
  <c r="K50" i="19"/>
  <c r="E50" i="19"/>
  <c r="U49" i="19"/>
  <c r="P49" i="19"/>
  <c r="N49" i="19" s="1"/>
  <c r="K49" i="19"/>
  <c r="E49" i="19"/>
  <c r="U48" i="19"/>
  <c r="P48" i="19"/>
  <c r="K48" i="19"/>
  <c r="E48" i="19"/>
  <c r="U47" i="19"/>
  <c r="P47" i="19"/>
  <c r="K47" i="19"/>
  <c r="E47" i="19"/>
  <c r="U46" i="19"/>
  <c r="P46" i="19"/>
  <c r="K46" i="19"/>
  <c r="E46" i="19"/>
  <c r="U45" i="19"/>
  <c r="P45" i="19"/>
  <c r="N45" i="19"/>
  <c r="K45" i="19"/>
  <c r="E45" i="19"/>
  <c r="AC44" i="19"/>
  <c r="U44" i="19"/>
  <c r="P44" i="19"/>
  <c r="K44" i="19"/>
  <c r="H44" i="19"/>
  <c r="AC43" i="19"/>
  <c r="U43" i="19"/>
  <c r="Q43" i="19"/>
  <c r="P43" i="19" s="1"/>
  <c r="K43" i="19"/>
  <c r="H43" i="19"/>
  <c r="F43" i="19"/>
  <c r="U42" i="19"/>
  <c r="P42" i="19"/>
  <c r="K42" i="19"/>
  <c r="E42" i="19"/>
  <c r="U41" i="19"/>
  <c r="Q41" i="19"/>
  <c r="K41" i="19"/>
  <c r="E41" i="19"/>
  <c r="C41" i="19" s="1"/>
  <c r="U40" i="19"/>
  <c r="Q40" i="19"/>
  <c r="P40" i="19" s="1"/>
  <c r="N40" i="19" s="1"/>
  <c r="K40" i="19"/>
  <c r="E40" i="19"/>
  <c r="U39" i="19"/>
  <c r="P39" i="19"/>
  <c r="K39" i="19"/>
  <c r="E39" i="19"/>
  <c r="AC38" i="19"/>
  <c r="U38" i="19"/>
  <c r="Q38" i="19"/>
  <c r="K38" i="19"/>
  <c r="E38" i="19"/>
  <c r="U37" i="19"/>
  <c r="P37" i="19"/>
  <c r="K37" i="19"/>
  <c r="E37" i="19"/>
  <c r="AC36" i="19"/>
  <c r="Q36" i="19"/>
  <c r="K36" i="19"/>
  <c r="E36" i="19"/>
  <c r="U35" i="19"/>
  <c r="P35" i="19"/>
  <c r="K35" i="19"/>
  <c r="E35" i="19"/>
  <c r="U34" i="19"/>
  <c r="P34" i="19"/>
  <c r="K34" i="19"/>
  <c r="F34" i="19"/>
  <c r="U33" i="19"/>
  <c r="P33" i="19"/>
  <c r="K33" i="19"/>
  <c r="E33" i="19"/>
  <c r="U32" i="19"/>
  <c r="Q32" i="19"/>
  <c r="P32" i="19" s="1"/>
  <c r="N32" i="19" s="1"/>
  <c r="K32" i="19"/>
  <c r="E32" i="19"/>
  <c r="C32" i="19" s="1"/>
  <c r="U31" i="19"/>
  <c r="P31" i="19"/>
  <c r="N31" i="19" s="1"/>
  <c r="K31" i="19"/>
  <c r="H31" i="19"/>
  <c r="AC30" i="19"/>
  <c r="U30" i="19"/>
  <c r="Q30" i="19"/>
  <c r="P30" i="19" s="1"/>
  <c r="K30" i="19"/>
  <c r="E30" i="19"/>
  <c r="AC29" i="19"/>
  <c r="U29" i="19"/>
  <c r="Q29" i="19"/>
  <c r="P29" i="19" s="1"/>
  <c r="K29" i="19"/>
  <c r="E29" i="19"/>
  <c r="U28" i="19"/>
  <c r="Q28" i="19"/>
  <c r="P28" i="19"/>
  <c r="O28" i="19"/>
  <c r="K28" i="19"/>
  <c r="E28" i="19"/>
  <c r="D28" i="19"/>
  <c r="U27" i="19"/>
  <c r="Q27" i="19"/>
  <c r="K27" i="19"/>
  <c r="E27" i="19"/>
  <c r="AC26" i="19"/>
  <c r="U26" i="19"/>
  <c r="Q26" i="19"/>
  <c r="P26" i="19"/>
  <c r="N26" i="19" s="1"/>
  <c r="K26" i="19"/>
  <c r="E26" i="19"/>
  <c r="AC25" i="19"/>
  <c r="U25" i="19"/>
  <c r="Q25" i="19"/>
  <c r="K25" i="19"/>
  <c r="E25" i="19"/>
  <c r="U24" i="19"/>
  <c r="P24" i="19"/>
  <c r="O24" i="19"/>
  <c r="K24" i="19"/>
  <c r="E24" i="19"/>
  <c r="U23" i="19"/>
  <c r="Q23" i="19"/>
  <c r="K23" i="19"/>
  <c r="E23" i="19"/>
  <c r="C23" i="19"/>
  <c r="AC22" i="19"/>
  <c r="U22" i="19"/>
  <c r="Q22" i="19"/>
  <c r="P22" i="19"/>
  <c r="K22" i="19"/>
  <c r="H22" i="19"/>
  <c r="AC21" i="19"/>
  <c r="U21" i="19"/>
  <c r="Q21" i="19"/>
  <c r="K21" i="19"/>
  <c r="E21" i="19"/>
  <c r="U20" i="19"/>
  <c r="R20" i="19"/>
  <c r="Q20" i="19"/>
  <c r="K20" i="19"/>
  <c r="G20" i="19"/>
  <c r="E20" i="19" s="1"/>
  <c r="D20" i="19"/>
  <c r="AC19" i="19"/>
  <c r="U19" i="19"/>
  <c r="Q19" i="19"/>
  <c r="K19" i="19"/>
  <c r="H19" i="19"/>
  <c r="E19" i="19"/>
  <c r="AC18" i="19"/>
  <c r="U18" i="19"/>
  <c r="Q18" i="19"/>
  <c r="P18" i="19"/>
  <c r="N18" i="19" s="1"/>
  <c r="K18" i="19"/>
  <c r="E18" i="19"/>
  <c r="C18" i="19"/>
  <c r="AC17" i="19"/>
  <c r="U17" i="19"/>
  <c r="Q17" i="19"/>
  <c r="K17" i="19"/>
  <c r="E17" i="19"/>
  <c r="U16" i="19"/>
  <c r="Q16" i="19"/>
  <c r="P16" i="19"/>
  <c r="K16" i="19"/>
  <c r="E16" i="19"/>
  <c r="AC15" i="19"/>
  <c r="U15" i="19"/>
  <c r="Q15" i="19"/>
  <c r="P15" i="19"/>
  <c r="K15" i="19"/>
  <c r="H15" i="19"/>
  <c r="E15" i="19" s="1"/>
  <c r="AC14" i="19"/>
  <c r="U14" i="19"/>
  <c r="U13" i="19" s="1"/>
  <c r="Q14" i="19"/>
  <c r="K14" i="19"/>
  <c r="E14" i="19"/>
  <c r="Z13" i="19"/>
  <c r="Z12" i="19" s="1"/>
  <c r="Z11" i="19" s="1"/>
  <c r="Y13" i="19"/>
  <c r="Y12" i="19" s="1"/>
  <c r="Y11" i="19" s="1"/>
  <c r="X13" i="19"/>
  <c r="W13" i="19"/>
  <c r="W12" i="19" s="1"/>
  <c r="W11" i="19" s="1"/>
  <c r="V13" i="19"/>
  <c r="T13" i="19"/>
  <c r="T12" i="19" s="1"/>
  <c r="S13" i="19"/>
  <c r="S12" i="19" s="1"/>
  <c r="S11" i="19" s="1"/>
  <c r="M13" i="19"/>
  <c r="M12" i="19" s="1"/>
  <c r="M11" i="19" s="1"/>
  <c r="L13" i="19"/>
  <c r="L12" i="19" s="1"/>
  <c r="J13" i="19"/>
  <c r="J12" i="19" s="1"/>
  <c r="J11" i="19" s="1"/>
  <c r="I13" i="19"/>
  <c r="I12" i="19" s="1"/>
  <c r="I11" i="19" s="1"/>
  <c r="F48" i="18"/>
  <c r="E48" i="18"/>
  <c r="F47" i="18"/>
  <c r="E47" i="18"/>
  <c r="F45" i="18"/>
  <c r="E45" i="18"/>
  <c r="D44" i="18"/>
  <c r="F43" i="18"/>
  <c r="E43" i="18"/>
  <c r="F42" i="18"/>
  <c r="E42" i="18"/>
  <c r="F41" i="18"/>
  <c r="E41" i="18"/>
  <c r="D40" i="18"/>
  <c r="E40" i="18" s="1"/>
  <c r="C39" i="18"/>
  <c r="F39" i="18" s="1"/>
  <c r="D38" i="18"/>
  <c r="D27" i="18" s="1"/>
  <c r="C38" i="18"/>
  <c r="C37" i="18"/>
  <c r="F37" i="18" s="1"/>
  <c r="C36" i="18"/>
  <c r="F36" i="18" s="1"/>
  <c r="C35" i="18"/>
  <c r="F34" i="18"/>
  <c r="E34" i="18"/>
  <c r="F33" i="18"/>
  <c r="E33" i="18"/>
  <c r="F32" i="18"/>
  <c r="E32" i="18"/>
  <c r="F31" i="18"/>
  <c r="E31" i="18"/>
  <c r="C30" i="18"/>
  <c r="F30" i="18" s="1"/>
  <c r="C29" i="18"/>
  <c r="F29" i="18" s="1"/>
  <c r="C28" i="18"/>
  <c r="F28" i="18" s="1"/>
  <c r="F26" i="18"/>
  <c r="E26" i="18"/>
  <c r="F25" i="18"/>
  <c r="E25" i="18"/>
  <c r="F24" i="18"/>
  <c r="E24" i="18"/>
  <c r="F22" i="18"/>
  <c r="E22" i="18"/>
  <c r="F21" i="18"/>
  <c r="E21" i="18"/>
  <c r="F19" i="18"/>
  <c r="E19" i="18"/>
  <c r="F18" i="18"/>
  <c r="E18" i="18"/>
  <c r="F17" i="18"/>
  <c r="E17" i="18"/>
  <c r="F16" i="18"/>
  <c r="E16" i="18"/>
  <c r="F15" i="18"/>
  <c r="E15" i="18"/>
  <c r="J14" i="18"/>
  <c r="F14" i="18"/>
  <c r="E14" i="18"/>
  <c r="F13" i="18"/>
  <c r="E13" i="18"/>
  <c r="C12" i="18"/>
  <c r="D9" i="18"/>
  <c r="E9" i="18" s="1"/>
  <c r="K107" i="17"/>
  <c r="J107" i="17"/>
  <c r="I107" i="17"/>
  <c r="K106" i="17"/>
  <c r="J106" i="17"/>
  <c r="I106" i="17"/>
  <c r="J105" i="17"/>
  <c r="K105" i="17"/>
  <c r="I105" i="17"/>
  <c r="J104" i="17"/>
  <c r="I104" i="17"/>
  <c r="K104" i="17"/>
  <c r="J103" i="17"/>
  <c r="K103" i="17"/>
  <c r="I103" i="17"/>
  <c r="J102" i="17"/>
  <c r="I102" i="17"/>
  <c r="K102" i="17"/>
  <c r="J101" i="17"/>
  <c r="K101" i="17"/>
  <c r="I101" i="17"/>
  <c r="J100" i="17"/>
  <c r="I100" i="17"/>
  <c r="K100" i="17"/>
  <c r="J99" i="17"/>
  <c r="K99" i="17"/>
  <c r="I99" i="17"/>
  <c r="J98" i="17"/>
  <c r="I98" i="17"/>
  <c r="K98" i="17"/>
  <c r="J97" i="17"/>
  <c r="K97" i="17"/>
  <c r="I97" i="17"/>
  <c r="J96" i="17"/>
  <c r="I96" i="17"/>
  <c r="K96" i="17"/>
  <c r="J95" i="17"/>
  <c r="I95" i="17"/>
  <c r="J94" i="17"/>
  <c r="K94" i="17"/>
  <c r="I94" i="17"/>
  <c r="J93" i="17"/>
  <c r="I93" i="17"/>
  <c r="J92" i="17"/>
  <c r="K92" i="17"/>
  <c r="I92" i="17"/>
  <c r="J91" i="17"/>
  <c r="I91" i="17"/>
  <c r="J90" i="17"/>
  <c r="I90" i="17"/>
  <c r="J89" i="17"/>
  <c r="I89" i="17"/>
  <c r="K89" i="17"/>
  <c r="J88" i="17"/>
  <c r="K88" i="17"/>
  <c r="I88" i="17"/>
  <c r="J87" i="17"/>
  <c r="I87" i="17"/>
  <c r="I85" i="17"/>
  <c r="K87" i="17"/>
  <c r="J86" i="17"/>
  <c r="K86" i="17"/>
  <c r="I86" i="17"/>
  <c r="K85" i="17"/>
  <c r="J85" i="17"/>
  <c r="J84" i="17"/>
  <c r="K84" i="17"/>
  <c r="J83" i="17"/>
  <c r="I83" i="17"/>
  <c r="K83" i="17"/>
  <c r="J82" i="17"/>
  <c r="K82" i="17"/>
  <c r="I82" i="17"/>
  <c r="J80" i="17"/>
  <c r="I80" i="17"/>
  <c r="J79" i="17"/>
  <c r="K79" i="17"/>
  <c r="I79" i="17"/>
  <c r="J78" i="17"/>
  <c r="I78" i="17"/>
  <c r="K78" i="17"/>
  <c r="J77" i="17"/>
  <c r="I77" i="17"/>
  <c r="J76" i="17"/>
  <c r="K76" i="17"/>
  <c r="I76" i="17"/>
  <c r="J74" i="17"/>
  <c r="K74" i="17"/>
  <c r="I74" i="17"/>
  <c r="J73" i="17"/>
  <c r="I73" i="17"/>
  <c r="K73" i="17"/>
  <c r="J72" i="17"/>
  <c r="K72" i="17"/>
  <c r="I72" i="17"/>
  <c r="J71" i="17"/>
  <c r="I71" i="17"/>
  <c r="K71" i="17"/>
  <c r="J70" i="17"/>
  <c r="I70" i="17"/>
  <c r="I37" i="17"/>
  <c r="K37" i="17"/>
  <c r="I36" i="17"/>
  <c r="K35" i="17"/>
  <c r="J35" i="17"/>
  <c r="I35" i="17"/>
  <c r="K34" i="17"/>
  <c r="J34" i="17"/>
  <c r="I34" i="17"/>
  <c r="J33" i="17"/>
  <c r="I33" i="17"/>
  <c r="I32" i="17"/>
  <c r="J31" i="17"/>
  <c r="I31" i="17"/>
  <c r="J30" i="17"/>
  <c r="K30" i="17"/>
  <c r="J29" i="17"/>
  <c r="I29" i="17"/>
  <c r="J28" i="17"/>
  <c r="J27" i="17"/>
  <c r="I27" i="17"/>
  <c r="K27" i="17"/>
  <c r="J26" i="17"/>
  <c r="K26" i="17"/>
  <c r="I26" i="17"/>
  <c r="J25" i="17"/>
  <c r="I25" i="17"/>
  <c r="K25" i="17"/>
  <c r="J24" i="17"/>
  <c r="I24" i="17"/>
  <c r="J23" i="17"/>
  <c r="K22" i="17"/>
  <c r="J22" i="17"/>
  <c r="I22" i="17"/>
  <c r="I21" i="17"/>
  <c r="J20" i="17"/>
  <c r="K20" i="17"/>
  <c r="I20" i="17"/>
  <c r="J19" i="17"/>
  <c r="J18" i="17"/>
  <c r="K18" i="17"/>
  <c r="I18" i="17"/>
  <c r="J17" i="17"/>
  <c r="J16" i="17"/>
  <c r="J15" i="17"/>
  <c r="J14" i="17"/>
  <c r="I14" i="17"/>
  <c r="J13" i="17"/>
  <c r="I13" i="17"/>
  <c r="K13" i="17"/>
  <c r="J12" i="17"/>
  <c r="J11" i="17"/>
  <c r="I11" i="17"/>
  <c r="I8" i="17"/>
  <c r="N43" i="19" l="1"/>
  <c r="AB43" i="19" s="1"/>
  <c r="AD50" i="19"/>
  <c r="N24" i="19"/>
  <c r="C20" i="19"/>
  <c r="N28" i="19"/>
  <c r="N33" i="19"/>
  <c r="AD33" i="19"/>
  <c r="AD37" i="19"/>
  <c r="E43" i="19"/>
  <c r="C43" i="19" s="1"/>
  <c r="C71" i="19"/>
  <c r="N77" i="19"/>
  <c r="N85" i="19"/>
  <c r="AC91" i="19"/>
  <c r="N118" i="19"/>
  <c r="C15" i="19"/>
  <c r="L11" i="19"/>
  <c r="AB18" i="19"/>
  <c r="AB32" i="19"/>
  <c r="D20" i="18"/>
  <c r="P17" i="19"/>
  <c r="AD17" i="19" s="1"/>
  <c r="E22" i="19"/>
  <c r="E34" i="19"/>
  <c r="N37" i="19"/>
  <c r="P38" i="19"/>
  <c r="AD46" i="19"/>
  <c r="N48" i="19"/>
  <c r="N51" i="19"/>
  <c r="AD54" i="19"/>
  <c r="C62" i="19"/>
  <c r="C73" i="19"/>
  <c r="C84" i="19"/>
  <c r="AD88" i="19"/>
  <c r="N90" i="19"/>
  <c r="N92" i="19"/>
  <c r="C97" i="19"/>
  <c r="N98" i="19"/>
  <c r="C100" i="19"/>
  <c r="C105" i="19"/>
  <c r="N117" i="19"/>
  <c r="Q13" i="19"/>
  <c r="O13" i="19"/>
  <c r="C26" i="19"/>
  <c r="C27" i="19"/>
  <c r="N29" i="19"/>
  <c r="N30" i="19"/>
  <c r="C36" i="19"/>
  <c r="AD39" i="19"/>
  <c r="N44" i="19"/>
  <c r="C47" i="19"/>
  <c r="N50" i="19"/>
  <c r="C52" i="19"/>
  <c r="C55" i="19"/>
  <c r="C57" i="19"/>
  <c r="C64" i="19"/>
  <c r="N67" i="19"/>
  <c r="C76" i="19"/>
  <c r="C79" i="19"/>
  <c r="AD80" i="19"/>
  <c r="N100" i="19"/>
  <c r="E109" i="19"/>
  <c r="C14" i="19"/>
  <c r="C16" i="19"/>
  <c r="AC20" i="19"/>
  <c r="C22" i="19"/>
  <c r="P23" i="19"/>
  <c r="AD24" i="19"/>
  <c r="AC28" i="19"/>
  <c r="P36" i="19"/>
  <c r="AD36" i="19" s="1"/>
  <c r="C40" i="19"/>
  <c r="P41" i="19"/>
  <c r="AD45" i="19"/>
  <c r="AD53" i="19"/>
  <c r="C59" i="19"/>
  <c r="C66" i="19"/>
  <c r="C69" i="19"/>
  <c r="N70" i="19"/>
  <c r="N82" i="19"/>
  <c r="C86" i="19"/>
  <c r="N87" i="19"/>
  <c r="C89" i="19"/>
  <c r="N97" i="19"/>
  <c r="AD105" i="19"/>
  <c r="C110" i="19"/>
  <c r="N111" i="19"/>
  <c r="AB111" i="19" s="1"/>
  <c r="C116" i="19"/>
  <c r="H13" i="19"/>
  <c r="AD16" i="19"/>
  <c r="C19" i="19"/>
  <c r="C21" i="19"/>
  <c r="AD22" i="19"/>
  <c r="P27" i="19"/>
  <c r="AD27" i="19" s="1"/>
  <c r="AD28" i="19"/>
  <c r="C33" i="19"/>
  <c r="N34" i="19"/>
  <c r="C46" i="19"/>
  <c r="C54" i="19"/>
  <c r="P55" i="19"/>
  <c r="N55" i="19" s="1"/>
  <c r="C72" i="19"/>
  <c r="N73" i="19"/>
  <c r="C75" i="19"/>
  <c r="AB79" i="19"/>
  <c r="C81" i="19"/>
  <c r="N94" i="19"/>
  <c r="C96" i="19"/>
  <c r="C99" i="19"/>
  <c r="AB113" i="19"/>
  <c r="E39" i="18"/>
  <c r="G13" i="19"/>
  <c r="C25" i="19"/>
  <c r="E31" i="19"/>
  <c r="AD31" i="19" s="1"/>
  <c r="C35" i="19"/>
  <c r="C38" i="19"/>
  <c r="C42" i="19"/>
  <c r="N47" i="19"/>
  <c r="N52" i="19"/>
  <c r="C63" i="19"/>
  <c r="C68" i="19"/>
  <c r="N69" i="19"/>
  <c r="N76" i="19"/>
  <c r="E83" i="19"/>
  <c r="AD89" i="19"/>
  <c r="N96" i="19"/>
  <c r="N99" i="19"/>
  <c r="AD106" i="19"/>
  <c r="N116" i="19"/>
  <c r="V12" i="19"/>
  <c r="N15" i="19"/>
  <c r="N16" i="19"/>
  <c r="P21" i="19"/>
  <c r="N22" i="19"/>
  <c r="C24" i="19"/>
  <c r="AD26" i="19"/>
  <c r="C28" i="19"/>
  <c r="C37" i="19"/>
  <c r="AD40" i="19"/>
  <c r="N46" i="19"/>
  <c r="C48" i="19"/>
  <c r="C51" i="19"/>
  <c r="N54" i="19"/>
  <c r="C56" i="19"/>
  <c r="C65" i="19"/>
  <c r="AD72" i="19"/>
  <c r="N75" i="19"/>
  <c r="N78" i="19"/>
  <c r="N81" i="19"/>
  <c r="N86" i="19"/>
  <c r="C88" i="19"/>
  <c r="C90" i="19"/>
  <c r="F44" i="18"/>
  <c r="P14" i="19"/>
  <c r="C17" i="19"/>
  <c r="P19" i="19"/>
  <c r="P20" i="19"/>
  <c r="P25" i="19"/>
  <c r="D13" i="19"/>
  <c r="C29" i="19"/>
  <c r="C30" i="19"/>
  <c r="N39" i="19"/>
  <c r="E44" i="19"/>
  <c r="AD49" i="19"/>
  <c r="C58" i="19"/>
  <c r="C67" i="19"/>
  <c r="N71" i="19"/>
  <c r="C77" i="19"/>
  <c r="C85" i="19"/>
  <c r="AB95" i="19"/>
  <c r="C98" i="19"/>
  <c r="F103" i="19"/>
  <c r="AD107" i="19"/>
  <c r="AD110" i="19"/>
  <c r="AD18" i="19"/>
  <c r="AD30" i="19"/>
  <c r="AD32" i="19"/>
  <c r="N35" i="19"/>
  <c r="N42" i="19"/>
  <c r="C50" i="19"/>
  <c r="C60" i="19"/>
  <c r="C70" i="19"/>
  <c r="C80" i="19"/>
  <c r="N83" i="19"/>
  <c r="C92" i="19"/>
  <c r="X91" i="19"/>
  <c r="AB101" i="19"/>
  <c r="C104" i="19"/>
  <c r="C108" i="19"/>
  <c r="AB114" i="19"/>
  <c r="D21" i="1"/>
  <c r="E23" i="1"/>
  <c r="C11" i="18"/>
  <c r="E30" i="18"/>
  <c r="E35" i="18"/>
  <c r="F38" i="18"/>
  <c r="F35" i="18"/>
  <c r="F9" i="18"/>
  <c r="F40" i="18"/>
  <c r="E44" i="18"/>
  <c r="T11" i="19"/>
  <c r="N112" i="19"/>
  <c r="AB112" i="19" s="1"/>
  <c r="E20" i="18"/>
  <c r="D12" i="18"/>
  <c r="C34" i="19"/>
  <c r="AD34" i="19"/>
  <c r="C83" i="19"/>
  <c r="AD83" i="19"/>
  <c r="N21" i="19"/>
  <c r="AD21" i="19"/>
  <c r="AC13" i="19"/>
  <c r="O12" i="19"/>
  <c r="N25" i="19"/>
  <c r="AD25" i="19"/>
  <c r="D12" i="19"/>
  <c r="N41" i="19"/>
  <c r="AD41" i="19"/>
  <c r="AB70" i="19"/>
  <c r="F13" i="19"/>
  <c r="AD15" i="19"/>
  <c r="AD19" i="19"/>
  <c r="AC24" i="19"/>
  <c r="AD29" i="19"/>
  <c r="AD42" i="19"/>
  <c r="AC90" i="19"/>
  <c r="AD23" i="19"/>
  <c r="AD57" i="19"/>
  <c r="N57" i="19"/>
  <c r="AD61" i="19"/>
  <c r="N61" i="19"/>
  <c r="R13" i="19"/>
  <c r="K13" i="19"/>
  <c r="AD48" i="19"/>
  <c r="AD52" i="19"/>
  <c r="AD56" i="19"/>
  <c r="N56" i="19"/>
  <c r="AD58" i="19"/>
  <c r="N58" i="19"/>
  <c r="AD60" i="19"/>
  <c r="N60" i="19"/>
  <c r="AD62" i="19"/>
  <c r="N62" i="19"/>
  <c r="AD64" i="19"/>
  <c r="N64" i="19"/>
  <c r="AD66" i="19"/>
  <c r="N66" i="19"/>
  <c r="AD69" i="19"/>
  <c r="AD70" i="19"/>
  <c r="AB93" i="19"/>
  <c r="AD109" i="19"/>
  <c r="AD59" i="19"/>
  <c r="N59" i="19"/>
  <c r="AD63" i="19"/>
  <c r="N63" i="19"/>
  <c r="AD65" i="19"/>
  <c r="N65" i="19"/>
  <c r="AD14" i="19"/>
  <c r="AD20" i="19"/>
  <c r="AD35" i="19"/>
  <c r="C39" i="19"/>
  <c r="C45" i="19"/>
  <c r="AD47" i="19"/>
  <c r="C49" i="19"/>
  <c r="AD51" i="19"/>
  <c r="C53" i="19"/>
  <c r="N68" i="19"/>
  <c r="C74" i="19"/>
  <c r="C78" i="19"/>
  <c r="N80" i="19"/>
  <c r="C87" i="19"/>
  <c r="N88" i="19"/>
  <c r="K91" i="19"/>
  <c r="U91" i="19"/>
  <c r="U12" i="19" s="1"/>
  <c r="AD104" i="19"/>
  <c r="C27" i="18"/>
  <c r="E29" i="18"/>
  <c r="E37" i="18"/>
  <c r="E38" i="18"/>
  <c r="E28" i="18"/>
  <c r="E36" i="18"/>
  <c r="I12" i="17"/>
  <c r="K15" i="17"/>
  <c r="I15" i="17"/>
  <c r="K81" i="17"/>
  <c r="K9" i="17"/>
  <c r="I16" i="17"/>
  <c r="K16" i="17"/>
  <c r="I19" i="17"/>
  <c r="K19" i="17"/>
  <c r="J37" i="17"/>
  <c r="K10" i="17"/>
  <c r="K11" i="17"/>
  <c r="I10" i="17"/>
  <c r="I9" i="17"/>
  <c r="K12" i="17"/>
  <c r="J75" i="17"/>
  <c r="J21" i="17"/>
  <c r="K14" i="17"/>
  <c r="K21" i="17"/>
  <c r="K24" i="17"/>
  <c r="I30" i="17"/>
  <c r="K31" i="17"/>
  <c r="K33" i="17"/>
  <c r="K80" i="17"/>
  <c r="J81" i="17"/>
  <c r="K90" i="17"/>
  <c r="K91" i="17"/>
  <c r="K93" i="17"/>
  <c r="K29" i="17"/>
  <c r="K95" i="17"/>
  <c r="AD43" i="19" l="1"/>
  <c r="N17" i="19"/>
  <c r="N13" i="19" s="1"/>
  <c r="P13" i="19"/>
  <c r="AD13" i="19" s="1"/>
  <c r="N27" i="19"/>
  <c r="E13" i="19"/>
  <c r="U11" i="19"/>
  <c r="C91" i="19"/>
  <c r="AB53" i="19"/>
  <c r="AB54" i="19"/>
  <c r="G12" i="19"/>
  <c r="C109" i="19"/>
  <c r="AB100" i="19"/>
  <c r="AB37" i="19"/>
  <c r="AB28" i="19"/>
  <c r="AB26" i="19"/>
  <c r="AB62" i="19"/>
  <c r="F12" i="19"/>
  <c r="C13" i="19"/>
  <c r="AB75" i="19"/>
  <c r="AB99" i="19"/>
  <c r="AD55" i="19"/>
  <c r="AB33" i="19"/>
  <c r="N36" i="19"/>
  <c r="AB51" i="19"/>
  <c r="AB49" i="19"/>
  <c r="AB17" i="19"/>
  <c r="N20" i="19"/>
  <c r="AB16" i="19"/>
  <c r="AB98" i="19"/>
  <c r="AB80" i="19"/>
  <c r="AB65" i="19"/>
  <c r="AB25" i="19"/>
  <c r="AB21" i="19"/>
  <c r="N19" i="19"/>
  <c r="AB96" i="19"/>
  <c r="AB67" i="19"/>
  <c r="AB50" i="19"/>
  <c r="AB30" i="19"/>
  <c r="Q12" i="19"/>
  <c r="AB48" i="19"/>
  <c r="AB60" i="19"/>
  <c r="AB78" i="19"/>
  <c r="AB45" i="19"/>
  <c r="R12" i="19"/>
  <c r="AB27" i="19"/>
  <c r="AB71" i="19"/>
  <c r="AB15" i="19"/>
  <c r="AB116" i="19"/>
  <c r="AB52" i="19"/>
  <c r="C31" i="19"/>
  <c r="AB110" i="19"/>
  <c r="AD44" i="19"/>
  <c r="AB40" i="19"/>
  <c r="AB74" i="19"/>
  <c r="AB39" i="19"/>
  <c r="AB63" i="19"/>
  <c r="AB66" i="19"/>
  <c r="AB58" i="19"/>
  <c r="AB61" i="19"/>
  <c r="AB83" i="19"/>
  <c r="AB42" i="19"/>
  <c r="AB46" i="19"/>
  <c r="AB94" i="19"/>
  <c r="AB73" i="19"/>
  <c r="AB69" i="19"/>
  <c r="AB29" i="19"/>
  <c r="AB92" i="19"/>
  <c r="AB68" i="19"/>
  <c r="AB41" i="19"/>
  <c r="E12" i="19"/>
  <c r="N14" i="19"/>
  <c r="AB22" i="19"/>
  <c r="V11" i="19"/>
  <c r="AB76" i="19"/>
  <c r="AB47" i="19"/>
  <c r="AB97" i="19"/>
  <c r="C44" i="19"/>
  <c r="F20" i="18"/>
  <c r="AB24" i="19"/>
  <c r="N91" i="19"/>
  <c r="AB91" i="19" s="1"/>
  <c r="AB55" i="19"/>
  <c r="AB59" i="19"/>
  <c r="AB64" i="19"/>
  <c r="AB56" i="19"/>
  <c r="AB57" i="19"/>
  <c r="AB34" i="19"/>
  <c r="X12" i="19"/>
  <c r="AB35" i="19"/>
  <c r="AB72" i="19"/>
  <c r="H12" i="19"/>
  <c r="N23" i="19"/>
  <c r="AB77" i="19"/>
  <c r="AB90" i="19"/>
  <c r="AD38" i="19"/>
  <c r="N38" i="19"/>
  <c r="E103" i="19"/>
  <c r="F27" i="18"/>
  <c r="J15" i="18"/>
  <c r="C10" i="18"/>
  <c r="C8" i="18" s="1"/>
  <c r="E12" i="18"/>
  <c r="F12" i="18"/>
  <c r="D11" i="18"/>
  <c r="O11" i="19"/>
  <c r="AC12" i="19"/>
  <c r="K12" i="19"/>
  <c r="D11" i="19"/>
  <c r="E27" i="18"/>
  <c r="I81" i="17"/>
  <c r="I23" i="17"/>
  <c r="K23" i="17"/>
  <c r="K77" i="17"/>
  <c r="J10" i="17"/>
  <c r="K70" i="17"/>
  <c r="I84" i="17"/>
  <c r="J69" i="17"/>
  <c r="K17" i="17"/>
  <c r="I17" i="17"/>
  <c r="P12" i="19" l="1"/>
  <c r="K11" i="19"/>
  <c r="H11" i="19"/>
  <c r="Q11" i="19"/>
  <c r="AB20" i="19"/>
  <c r="AB36" i="19"/>
  <c r="AB31" i="19"/>
  <c r="AB19" i="19"/>
  <c r="AB14" i="19"/>
  <c r="F11" i="19"/>
  <c r="E11" i="19"/>
  <c r="C12" i="19"/>
  <c r="C103" i="19"/>
  <c r="AD103" i="19"/>
  <c r="AB23" i="19"/>
  <c r="X11" i="19"/>
  <c r="R11" i="19"/>
  <c r="AB38" i="19"/>
  <c r="AB44" i="19"/>
  <c r="G11" i="19"/>
  <c r="E11" i="18"/>
  <c r="D10" i="18"/>
  <c r="F11" i="18"/>
  <c r="N12" i="19"/>
  <c r="AB13" i="19"/>
  <c r="AG10" i="19"/>
  <c r="AC11" i="19"/>
  <c r="AD12" i="19"/>
  <c r="P11" i="19"/>
  <c r="J9" i="17"/>
  <c r="I75" i="17"/>
  <c r="I69" i="17"/>
  <c r="K36" i="17"/>
  <c r="J36" i="17"/>
  <c r="K69" i="17"/>
  <c r="K75" i="17"/>
  <c r="C11" i="19" l="1"/>
  <c r="AD11" i="19"/>
  <c r="D8" i="18"/>
  <c r="E10" i="18"/>
  <c r="E8" i="18" s="1"/>
  <c r="F10" i="18"/>
  <c r="AB12" i="19"/>
  <c r="N11" i="19"/>
  <c r="J32" i="17"/>
  <c r="K32" i="17"/>
  <c r="G4" i="17"/>
  <c r="H10" i="18" l="1"/>
  <c r="H8" i="18"/>
  <c r="H7" i="18"/>
  <c r="H11" i="18"/>
  <c r="I11" i="18" s="1"/>
  <c r="F8" i="18"/>
  <c r="N6" i="19"/>
  <c r="AB11" i="19"/>
  <c r="J8" i="17"/>
  <c r="K8" i="17"/>
  <c r="D39" i="1" l="1"/>
  <c r="C39" i="1"/>
  <c r="E15" i="1"/>
  <c r="E16" i="1"/>
  <c r="E17" i="1"/>
  <c r="E37" i="1" l="1"/>
  <c r="E38" i="1"/>
  <c r="E40" i="1"/>
  <c r="E41" i="1"/>
  <c r="E43" i="1"/>
  <c r="E44" i="1"/>
  <c r="E45" i="1"/>
  <c r="E42" i="1"/>
  <c r="E39" i="1" l="1"/>
  <c r="D12" i="1" l="1"/>
  <c r="C12" i="1"/>
  <c r="C9" i="1"/>
  <c r="D9" i="1"/>
  <c r="D8" i="1" l="1"/>
  <c r="S20" i="6"/>
  <c r="S19" i="6"/>
  <c r="S18" i="6"/>
  <c r="S17" i="6"/>
  <c r="S16" i="6"/>
  <c r="S15" i="6"/>
  <c r="S14" i="6"/>
  <c r="S12" i="6"/>
  <c r="S11" i="6"/>
  <c r="S10" i="6" l="1"/>
  <c r="E25" i="1" l="1"/>
  <c r="E26" i="1"/>
  <c r="E27" i="1"/>
  <c r="E28" i="1"/>
  <c r="E36" i="1" l="1"/>
  <c r="C33" i="1" l="1"/>
  <c r="C21" i="1" s="1"/>
  <c r="C8" i="1"/>
  <c r="E10" i="1" l="1"/>
  <c r="E11" i="1"/>
  <c r="E12" i="1"/>
  <c r="E13" i="1"/>
  <c r="E14" i="1"/>
  <c r="E21" i="1"/>
  <c r="E22" i="1"/>
  <c r="E24" i="1"/>
  <c r="E33" i="1"/>
  <c r="E34" i="1"/>
  <c r="E35" i="1"/>
  <c r="E9" i="1"/>
  <c r="E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14" authorId="0" shapeId="0" xr:uid="{B6D9BCC5-7290-41A8-8497-5FE636EED9F7}">
      <text>
        <r>
          <rPr>
            <b/>
            <sz val="9"/>
            <color indexed="81"/>
            <rFont val="Tahoma"/>
            <family val="2"/>
          </rPr>
          <t xml:space="preserve">Author:
</t>
        </r>
      </text>
    </comment>
    <comment ref="A115" authorId="0" shapeId="0" xr:uid="{606BBA41-A09E-4CA8-AB0D-E5DCCE05AAF4}">
      <text>
        <r>
          <rPr>
            <b/>
            <sz val="9"/>
            <color indexed="81"/>
            <rFont val="Tahoma"/>
            <family val="2"/>
          </rPr>
          <t xml:space="preserve">Author: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17" authorId="0" shapeId="0" xr:uid="{00000000-0006-0000-0900-000001000000}">
      <text>
        <r>
          <rPr>
            <b/>
            <sz val="9"/>
            <color indexed="81"/>
            <rFont val="Tahoma"/>
            <family val="2"/>
          </rPr>
          <t xml:space="preserve">Author:
</t>
        </r>
      </text>
    </comment>
  </commentList>
</comments>
</file>

<file path=xl/sharedStrings.xml><?xml version="1.0" encoding="utf-8"?>
<sst xmlns="http://schemas.openxmlformats.org/spreadsheetml/2006/main" count="1441" uniqueCount="709">
  <si>
    <t>Biểu số 62/CK-NSNN</t>
  </si>
  <si>
    <t>Đơn vị: Triệu đồng</t>
  </si>
  <si>
    <t>STT</t>
  </si>
  <si>
    <t>NỘI DUNG</t>
  </si>
  <si>
    <t xml:space="preserve">DỰ TOÁN </t>
  </si>
  <si>
    <t>QUYẾT TOÁN</t>
  </si>
  <si>
    <t>SO SÁNH (%)</t>
  </si>
  <si>
    <t>A</t>
  </si>
  <si>
    <t>B</t>
  </si>
  <si>
    <t>3=2/1</t>
  </si>
  <si>
    <t>TỔNG NGUỒN THU NSĐP</t>
  </si>
  <si>
    <t>Thu ngân sách địa phương được hưởng theo phân cấp</t>
  </si>
  <si>
    <t>-</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</si>
  <si>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</si>
  <si>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</si>
  <si>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</si>
  <si>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</si>
  <si>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</si>
  <si>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</si>
  <si>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chuyển nguồn từ năm trước chuyển sang</t>
  </si>
  <si>
    <t>TỔNG CHI NSĐP</t>
  </si>
  <si>
    <t>Chi đầu tư phát triển</t>
  </si>
  <si>
    <t>Chi thường xuyên</t>
  </si>
  <si>
    <t>Chi bổ sung quỹ dự trữ tài chính</t>
  </si>
  <si>
    <t>Dự phòng ngân sách</t>
  </si>
  <si>
    <t>II</t>
  </si>
  <si>
    <t>Chi các chương trình mục tiêu</t>
  </si>
  <si>
    <t>Chi các chương trình mục tiêu quốc gia</t>
  </si>
  <si>
    <t>Chi các chương trình mục tiêu, nhiệm vụ</t>
  </si>
  <si>
    <t>III</t>
  </si>
  <si>
    <t>Chi chuyển nguồn sang năm sau</t>
  </si>
  <si>
    <t>C</t>
  </si>
  <si>
    <t>D</t>
  </si>
  <si>
    <t>E</t>
  </si>
  <si>
    <t>Biểu số 63/CK-NSNN</t>
  </si>
  <si>
    <t>DỰ TOÁN</t>
  </si>
  <si>
    <t>5=3/1</t>
  </si>
  <si>
    <t>6=4/2</t>
  </si>
  <si>
    <t>TỔNG THU CÂN ĐỐI NSNN</t>
  </si>
  <si>
    <t>I</t>
  </si>
  <si>
    <t>Thu nội địa</t>
  </si>
  <si>
    <t>Thuế thu nhập cá nhân</t>
  </si>
  <si>
    <t>Thuế bảo vệ môi trường</t>
  </si>
  <si>
    <t>Lệ phí trước bạ</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</si>
  <si>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</si>
  <si>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</si>
  <si>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</si>
  <si>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</si>
  <si>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</si>
  <si>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tiền cấp quyền khai thác khoáng sản</t>
  </si>
  <si>
    <t>Thu khác ngân sách</t>
  </si>
  <si>
    <t>Thu từ quỹ đất công ích, hoa lợi công sản khác</t>
  </si>
  <si>
    <t>Thu từ dầu thô</t>
  </si>
  <si>
    <t>Thuế xuất khẩu</t>
  </si>
  <si>
    <t>Thuế nhập khẩu</t>
  </si>
  <si>
    <t>Thu khác</t>
  </si>
  <si>
    <t>IV</t>
  </si>
  <si>
    <t>THU KẾT DƯ NĂM TRƯỚC</t>
  </si>
  <si>
    <t>THU CHUYỂN NGUỒN TỪ NĂM TRƯỚC CHUYỂN SANG</t>
  </si>
  <si>
    <t>Biểu số 64/CK-NSNN</t>
  </si>
  <si>
    <t>1=2+3</t>
  </si>
  <si>
    <t>4=5+6</t>
  </si>
  <si>
    <t>7=4/1</t>
  </si>
  <si>
    <t>8=5/2</t>
  </si>
  <si>
    <t>9=6/3</t>
  </si>
  <si>
    <t>CHI CÂN ĐỐI NSĐP</t>
  </si>
  <si>
    <t>Chi đầu tư cho các dự án</t>
  </si>
  <si>
    <t>Chi giáo dục - đào tạo và dạy nghề</t>
  </si>
  <si>
    <t>Chi khoa học và công nghệ</t>
  </si>
  <si>
    <t>Chi đầu tư từ nguồn thu tiền sử dụng đất</t>
  </si>
  <si>
    <t>Chi đầu tư từ nguồn thu xổ số kiến thiết</t>
  </si>
  <si>
    <t>Chi đầu tư phát triển khác</t>
  </si>
  <si>
    <t>Trong đó:</t>
  </si>
  <si>
    <t>V</t>
  </si>
  <si>
    <t>VI</t>
  </si>
  <si>
    <t>CHI CÁC CHƯƠNG TRÌNH MỤC TIÊU</t>
  </si>
  <si>
    <t>CHI CHUYỂN NGUỒN SANG NĂM SAU</t>
  </si>
  <si>
    <t>Biểu số 65/CK-NSNN</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</si>
  <si>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</si>
  <si>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</si>
  <si>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</si>
  <si>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</si>
  <si>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</si>
  <si>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</si>
  <si>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</si>
  <si>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</si>
  <si>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</si>
  <si>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</si>
  <si>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</si>
  <si>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</si>
  <si>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</si>
  <si>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</si>
  <si>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</si>
  <si>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</si>
  <si>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</si>
  <si>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</si>
  <si>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Biểu số 66/CK-NSNN</t>
  </si>
  <si>
    <t>TÊN ĐƠN VỊ</t>
  </si>
  <si>
    <t>TỔNG SỐ</t>
  </si>
  <si>
    <t>CHI ĐẦU TƯ PHÁT TRIỂN (KHÔNG KỂ CHƯƠNG TRÌNH MTQG)</t>
  </si>
  <si>
    <t>CHI THƯỜNG XUYÊN (KHÔNG KỂ CHƯƠNG TRÌNH MTQG)</t>
  </si>
  <si>
    <t>CHI CHƯƠNG TRÌNH MTQG</t>
  </si>
  <si>
    <t>CHI CHUYỂN NGUỒN SANG NGÂN SÁCH NĂM SAU</t>
  </si>
  <si>
    <t>CHI ĐẦU TƯ PHÁT TRIỂN</t>
  </si>
  <si>
    <t>CHI THƯỜNG XUYÊN</t>
  </si>
  <si>
    <t>Biểu số 67/CK-NSNN</t>
  </si>
  <si>
    <t>Tên đơn vị</t>
  </si>
  <si>
    <t>Dự toán</t>
  </si>
  <si>
    <t>Quyết toán</t>
  </si>
  <si>
    <t>So sánh (%)</t>
  </si>
  <si>
    <t>Tổng số</t>
  </si>
  <si>
    <t>Bổ sung cân đối</t>
  </si>
  <si>
    <t>Bổ sung có mục tiêu</t>
  </si>
  <si>
    <t>Vốn đầu tư để thực hiện các chương trình mục tiêu, nhiệm vụ</t>
  </si>
  <si>
    <t>Vốn sự nghiệp để thực hiện các chế độ, chính sách, nhiệm vụ</t>
  </si>
  <si>
    <t>Vốn thực hiện các chương trình mục tiêu quốc gia</t>
  </si>
  <si>
    <t>13=7/1</t>
  </si>
  <si>
    <t>14=8/2</t>
  </si>
  <si>
    <t>15=9/3</t>
  </si>
  <si>
    <t>16=10/4</t>
  </si>
  <si>
    <t>17=11/5</t>
  </si>
  <si>
    <t>18=12/6</t>
  </si>
  <si>
    <t>Biểu số 68/CK-NSNN</t>
  </si>
  <si>
    <t>Nội dung</t>
  </si>
  <si>
    <t>Trong đó</t>
  </si>
  <si>
    <t>Đầu tư phát triển</t>
  </si>
  <si>
    <t>Kinh phí sự nghiệp</t>
  </si>
  <si>
    <t>Vốn trong nước</t>
  </si>
  <si>
    <t>Vốn ngoài nước</t>
  </si>
  <si>
    <t>Chương trình mục tiêu quốc gia xây dựng nông thôn mới</t>
  </si>
  <si>
    <t>Chương trình mục tiêu quốc gia giảm nghèo bền vững</t>
  </si>
  <si>
    <t>Ban Dân tộc</t>
  </si>
  <si>
    <t>Huyện Kon Rẫy</t>
  </si>
  <si>
    <t>Huyện Đăk Hà</t>
  </si>
  <si>
    <t>Thành phố Kon Tum</t>
  </si>
  <si>
    <t>Huyện Đăk Tô</t>
  </si>
  <si>
    <t xml:space="preserve">Huyện Ngọc Hồi </t>
  </si>
  <si>
    <t>Thu từ ngân sách cấp dưới nộp lên</t>
  </si>
  <si>
    <t>2.1</t>
  </si>
  <si>
    <t>2.2</t>
  </si>
  <si>
    <t>2.3</t>
  </si>
  <si>
    <t>6=7+8</t>
  </si>
  <si>
    <t>+</t>
  </si>
  <si>
    <t>3.1</t>
  </si>
  <si>
    <t>3.2</t>
  </si>
  <si>
    <t>Vốn nước ngoài</t>
  </si>
  <si>
    <t xml:space="preserve"> Chi nộp ngân sách cấp trên</t>
  </si>
  <si>
    <t>Huyện Đăk Glei</t>
  </si>
  <si>
    <t>Huyện Tu Mơ Rông</t>
  </si>
  <si>
    <t>Huyện Ia H'Drai</t>
  </si>
  <si>
    <t xml:space="preserve">Dự toán </t>
  </si>
  <si>
    <t xml:space="preserve">Quyết toán </t>
  </si>
  <si>
    <t>1=2+..+6</t>
  </si>
  <si>
    <t>14=15+16</t>
  </si>
  <si>
    <t xml:space="preserve">      Đơn vị: Triệu đồng</t>
  </si>
  <si>
    <t xml:space="preserve">Chi đầu tư phát triển </t>
  </si>
  <si>
    <t>Thu NSĐP</t>
  </si>
  <si>
    <t>Văn phòng Điều phối NTM tỉnh</t>
  </si>
  <si>
    <t>Chi thường xuyên cấp DT</t>
  </si>
  <si>
    <t>Chi thường xuyên cấp Lệnh chi</t>
  </si>
  <si>
    <t>Sự nghiệp</t>
  </si>
  <si>
    <t>Đâu tư</t>
  </si>
  <si>
    <t>Vay của ngân sách địa phương</t>
  </si>
  <si>
    <t>Huyện Kon Plong</t>
  </si>
  <si>
    <t>Huyện Sa Thầy</t>
  </si>
  <si>
    <t>CHI TRẢ NỢ GỐC CỦA NSĐP</t>
  </si>
  <si>
    <t>Từ nguồn vay để trả nợ gốc</t>
  </si>
  <si>
    <t>Từ nguồn bội thu, tăng thu, tiết kiệm chi, kết dư ngân sách cấp tỉnh</t>
  </si>
  <si>
    <t>TỔNG MỨC VAY CỦA NSĐP</t>
  </si>
  <si>
    <t>Vay để bù đắp bội chi</t>
  </si>
  <si>
    <t>Vay để trả nợ gốc</t>
  </si>
  <si>
    <t>TỔNG MỨC DƯ NỢ VAY CUỐI NĂM CỦA NSĐP</t>
  </si>
  <si>
    <t>Đ</t>
  </si>
  <si>
    <t>Thuế tiêu thụ đặc biệt thu từ hàng hóa nhập khẩu</t>
  </si>
  <si>
    <t>Tổng thu NSNN</t>
  </si>
  <si>
    <t>TỔNG NGUỒN THU NSNN (A+B+C+D)</t>
  </si>
  <si>
    <t>Thuế giá trị gia tăng</t>
  </si>
  <si>
    <t>Thuế thu nhập doanh nghiệp</t>
  </si>
  <si>
    <t>Thuế tài nguyên</t>
  </si>
  <si>
    <t>Thuế tài nguyên nước</t>
  </si>
  <si>
    <t>Thuế tài nguyên khác</t>
  </si>
  <si>
    <t>Thuế tài nguyên rừng</t>
  </si>
  <si>
    <t>4.1</t>
  </si>
  <si>
    <t>4.2</t>
  </si>
  <si>
    <t>4.3</t>
  </si>
  <si>
    <t>Thuế TTĐB hàng nội địa</t>
  </si>
  <si>
    <t>4.4</t>
  </si>
  <si>
    <t xml:space="preserve">Thu phí, lệ phí </t>
  </si>
  <si>
    <t>Phí và lệ phí trung ương</t>
  </si>
  <si>
    <t>Phí và lệ phí tỉnh</t>
  </si>
  <si>
    <t>Phí và lệ phí huyện</t>
  </si>
  <si>
    <t>Phí và lệ phí xã, phường</t>
  </si>
  <si>
    <t>Thu từ hoạt động xổ số kiến thiết</t>
  </si>
  <si>
    <t xml:space="preserve">Thu từ hoạt động xuất nhập khẩu </t>
  </si>
  <si>
    <t>Thuế bảo vệ môi trường thu từ hàng hóa nhập khẩu</t>
  </si>
  <si>
    <t>Thuế giá trị gia tăng thu từ hàng hóa nhập khẩu</t>
  </si>
  <si>
    <t>Thu viện trợ, các khoản huy động, đóng góp</t>
  </si>
  <si>
    <t>Bao gồm</t>
  </si>
  <si>
    <t xml:space="preserve">Ngân sách cấp tỉnh </t>
  </si>
  <si>
    <t xml:space="preserve">Ngân sách huyện </t>
  </si>
  <si>
    <t>Ngân sách địa phương</t>
  </si>
  <si>
    <t>Trong đó: Chia theo nguồn vốn</t>
  </si>
  <si>
    <t>Chi đầu tư và hỗ trợ vốn cho các doanh nghiệp cung cấp sản phẩm, dịch vụ công ích do Nhà nước đặt hàng, các tổ chức kinh tế, các tổ chức tài chính của địa phương theo quy định của pháp luật</t>
  </si>
  <si>
    <t>Chương trình MTQG NTM</t>
  </si>
  <si>
    <t>Chương trình MTQG giảm nghèo bền vững</t>
  </si>
  <si>
    <t xml:space="preserve">Chi các chương trình mục tiêu, nhiệm vụ </t>
  </si>
  <si>
    <t>II.1</t>
  </si>
  <si>
    <t>Bổ sung vốn đầu tư</t>
  </si>
  <si>
    <t>II.2</t>
  </si>
  <si>
    <t xml:space="preserve">Bổ sung mục tiêu vốn sự nghiệp </t>
  </si>
  <si>
    <t xml:space="preserve">Học bổng học sinh dân tộc nội trú; học bổng và phương tiện học tập cho học sinh khuyết tật; hỗ trợ chi phí học tập cho sinh viên dân tộc thiểu số thuộc hộ nghèo, hộ cận nghèo; chính sách nội trú đối với học sinh, sinh viên học cao đẳng, trung cấp </t>
  </si>
  <si>
    <t>Học bổng học sinh dân tộc nội trú</t>
  </si>
  <si>
    <t>Học bổng và phương tiện học tập cho học sinh khuyết tật TTLT 42</t>
  </si>
  <si>
    <t xml:space="preserve">Chính sách nội trú đối với học sinh, sinh viên học cao đẳng, trung cấp </t>
  </si>
  <si>
    <t>Hỗ trợ kinh phí đào tạo cán bộ quân sự cấp xã</t>
  </si>
  <si>
    <t>Kinh phí thực hiện đề án giảm thiểu hôn nhân cận huyết thống</t>
  </si>
  <si>
    <t>Hỗ trợ kinh phí mua thẻ BHYT người nghèo, người sống ở vùng kinh tế xã hội ĐBKK, người dân tộc thiểu số sống ở vùng KT-XH khó khăn</t>
  </si>
  <si>
    <t>Hỗ trợ kinh phí mua thẻ BHYT cho trẻ em dưới 6 tuổi</t>
  </si>
  <si>
    <t>Hỗ trợ kinh phí mua thẻ BHYT cho các đối tượng cựu chiến binh, thanh niên xung phong</t>
  </si>
  <si>
    <t>Hỗ trợ kinh phí mua thẻ BHYT cho các đối tượng bảo trợ xã hội</t>
  </si>
  <si>
    <t>Hỗ trợ kinh phí mua thẻ BHYT cho các đối tượng học sinh, sinh viên (Cấp KP trực tiếp về BHXH tỉnh)</t>
  </si>
  <si>
    <t>Hỗ trợ thực hiện chính sách đối với đối tượng bảo trợ xã hội theo NĐ 136</t>
  </si>
  <si>
    <t xml:space="preserve"> Hỗ trợ tiền điện hộ nghèo, hộ chính sách xã hội</t>
  </si>
  <si>
    <t>Hỗ trợ chính sách đối với người có uy tín trong đồng bào dân tộc thiểu số</t>
  </si>
  <si>
    <t>Hỗ trợ tổ chức đơn vị sử dụng lao động là người dân tộc thiểu số</t>
  </si>
  <si>
    <t>Chương trình mục tiêu ứng phó với biến đổi khí hậu và tăng trưởng xanh</t>
  </si>
  <si>
    <t>CHI NỘP TRẢ NGÂN SÁCH CẤP TRÊN</t>
  </si>
  <si>
    <t>Chi thường xuyên (không kể chương trình MTQG va TƯ BSMT vốn sự nghiệp)</t>
  </si>
  <si>
    <t>TƯ BSMT vốn sự nghiệp</t>
  </si>
  <si>
    <t>Thu kết dư năm trước</t>
  </si>
  <si>
    <t>Thu huy động, đóng góp</t>
  </si>
  <si>
    <t>Chi trả nợ gốc, lãi các khoản do chính quyền địa phương vay</t>
  </si>
  <si>
    <t>Trong đó: - Thuế BVMT thu từ hàng hóa sản xuất, kinh doanh trong nước</t>
  </si>
  <si>
    <t xml:space="preserve">                   - Thuế BVMT thu từ hàng hóa nhập khẩu</t>
  </si>
  <si>
    <t>(Chi tiết theo sắc thuế)</t>
  </si>
  <si>
    <t>Tăng thu từ các dự án khai thác quỹ đất so với dự toán Trung ương giao (phân bổ chi đầu tư các dự án, nhiệm vụ theo tiến độ nguồn thu thực tế)</t>
  </si>
  <si>
    <t>*</t>
  </si>
  <si>
    <t>Đất dự án khu trung tâm phường Ngô Mây, thành phố Kon Tum (1449)</t>
  </si>
  <si>
    <t>VAY CỦA NGÂN SÁCH ĐỊA PHƯƠNG</t>
  </si>
  <si>
    <t>Địa phương vay từ nguồn cho vay lại của Chính phủ</t>
  </si>
  <si>
    <t>TỔNG CHI NGÂN SÁCH ĐỊA PHƯƠNG (BAO GỒM BỘI CHI NSĐP)</t>
  </si>
  <si>
    <t>A.1</t>
  </si>
  <si>
    <t>A.2</t>
  </si>
  <si>
    <t>Chi từ nguồn bội chi NSĐP</t>
  </si>
  <si>
    <t xml:space="preserve"> -</t>
  </si>
  <si>
    <t>Dự án  an ninh y tế khu vực tiểu vùng Mê Kông mở rộng, thực hiện ghi thu ghi chi theo tiến độ giải ngân và trong phạm vi dự toán được giao.</t>
  </si>
  <si>
    <t>Chương trình mở rộng quy mô vệ sinh nước sạch nông thôn theo phương thức dựa trên kết quả, thực hiện ghi thu ghi chi theo tiến độ giải ngân và trong phạm vi dự toán được giao.</t>
  </si>
  <si>
    <t>Hỗ trợ Liên hiệp Phụ nữ</t>
  </si>
  <si>
    <t>Kinh phí hỗ trợ an ninh, quốc phòng</t>
  </si>
  <si>
    <t>CHI NỘP NGÂN SÁCH CẤP TRÊN</t>
  </si>
  <si>
    <t>Chi ngân sách cấp tỉnh</t>
  </si>
  <si>
    <t>Chi ngân sách huyện</t>
  </si>
  <si>
    <t>ĐVT: Triệu đồng</t>
  </si>
  <si>
    <t xml:space="preserve">TỔNG SỐ </t>
  </si>
  <si>
    <t xml:space="preserve">CHI TRẢ NỢ LÃI, GỐC VAY </t>
  </si>
  <si>
    <t xml:space="preserve">CHI NỘP TRẢ NGÂN SÁCH CẤP TRÊN </t>
  </si>
  <si>
    <t>CÁC CƠ QUAN, TỔ CHỨC</t>
  </si>
  <si>
    <t>I.1</t>
  </si>
  <si>
    <t>CÁC CƠ QUAN, TỔ CHỨC KHỐI TỈNH</t>
  </si>
  <si>
    <t>1</t>
  </si>
  <si>
    <t>Sở NN và PT nông thôn và các đơn vị trực thuộc</t>
  </si>
  <si>
    <t>2</t>
  </si>
  <si>
    <t>Sở GTVT và các đơn vị trực thuộc</t>
  </si>
  <si>
    <t>3</t>
  </si>
  <si>
    <t>Sở Xây dựng và các đơn vị trực thuộc</t>
  </si>
  <si>
    <t>4</t>
  </si>
  <si>
    <t>Sở Tài  nguyên MT và các ĐV trực thuộc</t>
  </si>
  <si>
    <t>5</t>
  </si>
  <si>
    <t>Sở Công Thương và các ĐV trực thuộc</t>
  </si>
  <si>
    <t>6</t>
  </si>
  <si>
    <t>Ngành giáo dục - Đào tạo ngành Giáo dục</t>
  </si>
  <si>
    <t>7</t>
  </si>
  <si>
    <t>Ngành Y tế</t>
  </si>
  <si>
    <t>8</t>
  </si>
  <si>
    <t>9</t>
  </si>
  <si>
    <t>Sở LĐ TB-XH và các đơn vị trực thuộc</t>
  </si>
  <si>
    <t>10</t>
  </si>
  <si>
    <t>Sở Tư pháp và các đơn vị trực thuộc</t>
  </si>
  <si>
    <t>11</t>
  </si>
  <si>
    <t>VP Tỉnh Uỷ và các đơn vị trực thuộc Tỉnh Uỷ</t>
  </si>
  <si>
    <t>12</t>
  </si>
  <si>
    <t>Sở Kh. học và CN và các ĐV trực thuộc</t>
  </si>
  <si>
    <t>13</t>
  </si>
  <si>
    <t>Tỉnh đoàn và các đơn vị trực thuộc</t>
  </si>
  <si>
    <t>14</t>
  </si>
  <si>
    <t>Sở Thông tin và truyền thông</t>
  </si>
  <si>
    <t>15</t>
  </si>
  <si>
    <t xml:space="preserve">Ban QL Khu Kinh tế  </t>
  </si>
  <si>
    <t>16</t>
  </si>
  <si>
    <t>Sở Nội vụ</t>
  </si>
  <si>
    <t>17</t>
  </si>
  <si>
    <t>Đài phát thanh - Truyền hình</t>
  </si>
  <si>
    <t>18</t>
  </si>
  <si>
    <t>19</t>
  </si>
  <si>
    <t>Sở Ngọai vụ</t>
  </si>
  <si>
    <t>20</t>
  </si>
  <si>
    <t>21</t>
  </si>
  <si>
    <t>VP Đoàn ĐBQH và  HĐND tỉnh</t>
  </si>
  <si>
    <t>22</t>
  </si>
  <si>
    <t>23</t>
  </si>
  <si>
    <t>Sở Kế hoạch  và Đầu tư</t>
  </si>
  <si>
    <t>24</t>
  </si>
  <si>
    <t>Sở Tài chính</t>
  </si>
  <si>
    <t>25</t>
  </si>
  <si>
    <t>VP Uỷ ban nhân dân tỉnh</t>
  </si>
  <si>
    <t>26</t>
  </si>
  <si>
    <t>Hội Cựu chiến binh</t>
  </si>
  <si>
    <t>27</t>
  </si>
  <si>
    <t>Hội Nông dân</t>
  </si>
  <si>
    <t>28</t>
  </si>
  <si>
    <t>Uỷ ban mặt trận tổ quốc</t>
  </si>
  <si>
    <t>29</t>
  </si>
  <si>
    <t>Hội liên hiệp phụ nữ tỉnh</t>
  </si>
  <si>
    <t>30</t>
  </si>
  <si>
    <t>Bộ chỉ huy BP; Quân sự, Công an tỉnh</t>
  </si>
  <si>
    <t>31</t>
  </si>
  <si>
    <t>32</t>
  </si>
  <si>
    <t>Hội nạn nhân ảnh hưởng chất độc da cam dioxin</t>
  </si>
  <si>
    <t>33</t>
  </si>
  <si>
    <t>Hội người tàn tật và trẻ em mồ côi</t>
  </si>
  <si>
    <t>34</t>
  </si>
  <si>
    <t>Hội khuyến học</t>
  </si>
  <si>
    <t>35</t>
  </si>
  <si>
    <t>Ban liên lạc tù chính trị</t>
  </si>
  <si>
    <t>36</t>
  </si>
  <si>
    <t>Hội nhà báo</t>
  </si>
  <si>
    <t>37</t>
  </si>
  <si>
    <t>Hội liên hiệp KH và kỹ thuật và các Hội thành viên</t>
  </si>
  <si>
    <t>38</t>
  </si>
  <si>
    <t>Hội Cựu Thanh niên xung phong</t>
  </si>
  <si>
    <t>39</t>
  </si>
  <si>
    <t>Hội Văn học Nghệ thuật</t>
  </si>
  <si>
    <t>40</t>
  </si>
  <si>
    <t>Hội HN Việt Nam - lào, VN - Campuchia</t>
  </si>
  <si>
    <t>41</t>
  </si>
  <si>
    <t>Hội liên lạc người Việt Nam ở nước ngoài</t>
  </si>
  <si>
    <t>42</t>
  </si>
  <si>
    <t>Hội Luật gia</t>
  </si>
  <si>
    <t>43</t>
  </si>
  <si>
    <t xml:space="preserve">Hội chữ thập đỏ </t>
  </si>
  <si>
    <t>Liên minh các Hợp tác xã</t>
  </si>
  <si>
    <t>Hỗ trợ ĐV TƯ kết nghĩa xã NQ 04</t>
  </si>
  <si>
    <t>Kinh phí trực phục vụ Tết nguyên đán</t>
  </si>
  <si>
    <t>Công đoàn viên chức tỉnh</t>
  </si>
  <si>
    <t>Đoàn Luật sư tỉnh</t>
  </si>
  <si>
    <t>Ban quản lý các dự án 98</t>
  </si>
  <si>
    <t>Bệnh viện đa khoa tỉnh</t>
  </si>
  <si>
    <t>Ban quản lý dự án bảo vệ và Quản lý tổng hợp các hệ sinh thái rừng</t>
  </si>
  <si>
    <t xml:space="preserve">Ban quản lý Vườn quốc gia Chư Mom Ray </t>
  </si>
  <si>
    <t>Trường Chính trị tỉnh Kon Tum</t>
  </si>
  <si>
    <t>Bệnh viện Y dược Cổ truyền - Phục hồi chức năng tỉnh Kon Tum</t>
  </si>
  <si>
    <t>Trung tâm nước sinh hoạt và VS MT nông thôn</t>
  </si>
  <si>
    <t>Ban quản lý dự án đầu tư xây dựng các CT nông nghiệp và PTNT</t>
  </si>
  <si>
    <t>Trung tâm Phát triển Quỹ đất</t>
  </si>
  <si>
    <t xml:space="preserve">Chi cục Kiểm lâm tỉnh </t>
  </si>
  <si>
    <t xml:space="preserve">Ngân hàng chính sách xã hội tỉnh </t>
  </si>
  <si>
    <t>Quỹ bảo trì đường bộ</t>
  </si>
  <si>
    <t>Báo Kon Tum</t>
  </si>
  <si>
    <t>Công ty TNHH MTV Cao su Chưmomray</t>
  </si>
  <si>
    <t>Công ty TNHH MTV Cao su Kon Tum</t>
  </si>
  <si>
    <t>Công ty Cổ phần Cao su Sa Thầy</t>
  </si>
  <si>
    <t>Ban ATGT tỉnh</t>
  </si>
  <si>
    <t>Các nguồn tập trung ngân sách tỉnh chưa phân bổ đầu năm (phân bổ khi có nhiệm vụ phát sinh)</t>
  </si>
  <si>
    <t>I.2</t>
  </si>
  <si>
    <t>CÁC HUYỆN, THÀNH PHỐ (Quyết toán tại ngân sách tỉnh, không bao gồm vốn đầu tư phân cấp NSH)</t>
  </si>
  <si>
    <t>UBND huyện Đăk Hà</t>
  </si>
  <si>
    <t>UBND huyện Đăk Tô</t>
  </si>
  <si>
    <t>UBND huyện Tu Mơ Rông</t>
  </si>
  <si>
    <t>UBND huyện Sa Thầy</t>
  </si>
  <si>
    <t xml:space="preserve">UBND huyện Ngọc Hồi </t>
  </si>
  <si>
    <t>UBND huyện Đăk Glei</t>
  </si>
  <si>
    <t>UBND huyện Ia H'Drai</t>
  </si>
  <si>
    <t>UBND huyện Kon Rẫy</t>
  </si>
  <si>
    <t xml:space="preserve">UBND huyện Kon PLông </t>
  </si>
  <si>
    <t>UBND thành phố Kon Tum</t>
  </si>
  <si>
    <t>Các Chủ đầu tư khác</t>
  </si>
  <si>
    <t>CHI KHÁC NGÂN SÁCH TỈNH</t>
  </si>
  <si>
    <t>Nguồn mua sắm sữa chữa tập trung</t>
  </si>
  <si>
    <t>Cấp vốn ủy thác, bù lãi suất theo NQ HĐND</t>
  </si>
  <si>
    <t>Chi khác ngân sách</t>
  </si>
  <si>
    <t>CHI BỔ SUNG QUỸ DỰ TRỮ TÀI CHÍNH</t>
  </si>
  <si>
    <t>CHI DỰ PHÒNG NGÂN SÁCH</t>
  </si>
  <si>
    <t xml:space="preserve">CHI BỔ SUNG MỤC TIÊU CHO NGÂN SÁCH HUYỆN </t>
  </si>
  <si>
    <t>VII</t>
  </si>
  <si>
    <t>VIII</t>
  </si>
  <si>
    <t>Nội dung (1)</t>
  </si>
  <si>
    <t>Ngân sách cấp tỉnh</t>
  </si>
  <si>
    <t>Ngân sách huyện</t>
  </si>
  <si>
    <t>CHI TỪ NGUỒN BỘI CHI NSĐP</t>
  </si>
  <si>
    <t>44</t>
  </si>
  <si>
    <t>45</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</si>
  <si>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</si>
  <si>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</si>
  <si>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</si>
  <si>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</si>
  <si>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</si>
  <si>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</si>
  <si>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</si>
  <si>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</si>
  <si>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</si>
  <si>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</si>
  <si>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</si>
  <si>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</si>
  <si>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</si>
  <si>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</si>
  <si>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</si>
  <si>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</si>
  <si>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</si>
  <si>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</si>
  <si>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</si>
  <si>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</si>
  <si>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</si>
  <si>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</si>
  <si>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</si>
  <si>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</si>
  <si>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</si>
  <si>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</si>
  <si>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</si>
  <si>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</si>
  <si>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</si>
  <si>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</si>
  <si>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QUYẾT TOÁN CHI NGÂN SÁCH CẤP TỈNH THEO CHO TỪNG CƠ QUAN, TỔ CHỨC NĂM 2021</t>
  </si>
  <si>
    <t>Huyện Tu mơ rông</t>
  </si>
  <si>
    <t>TP Kon Tum</t>
  </si>
  <si>
    <t>Chi nguồn giao tăng thu so dự toán Trung ương giao</t>
  </si>
  <si>
    <t>Chi từ nguồn viện trợ thuộc nguồn thu NSĐP</t>
  </si>
  <si>
    <t>Chi cho vay từ nguồn vốn trong nước</t>
  </si>
  <si>
    <t>Thu từ khu vực DNNN do trung ương quản lý (1)</t>
  </si>
  <si>
    <t>Dự án khai thác quỹ đất phát triển kết cấu hạ tầng Trung tâm thể dục thể thao phường Trường Chinh, thành phố Kon Tum (1449)</t>
  </si>
  <si>
    <t>GTGC tiền thuê đất tương ứng số tiền đền bù GPMB của các DA đầu tư mà nhà đầu tư đã tự nguyện ứng trước (3605)</t>
  </si>
  <si>
    <t>Tiền sử dụng đất thuộc Dự án đường Bà Triệu (1449)</t>
  </si>
  <si>
    <t>Tiền bán tài sản liền với đất thuộc Dự án đường Bà Triệu (3365)</t>
  </si>
  <si>
    <t>Thu viện trợ thuộc nguồn thu ngân sách địa phương</t>
  </si>
  <si>
    <t xml:space="preserve">Chi đầu tư cho các dự án </t>
  </si>
  <si>
    <t>Trong đó: Chia theo lĩnh vực</t>
  </si>
  <si>
    <t xml:space="preserve">Chi khoa học và công nghệ </t>
  </si>
  <si>
    <t>Chi từ nguồn thu các dự án khai thác quỹ đất so với dự toán Trung ương giao (Bao gồm chi đền bù GPMB của các DA đầu tư mà nhà đầu tư đã tự nguyện ứng trước từ nguồn thu tiền thuê đất, tiền sử dụng đất  phân bổ cho các dự án, nhiệm vụ theo tiến độ nguồn thu thực tế)</t>
  </si>
  <si>
    <t xml:space="preserve">Chi cho vay từ nguồn vốn trong nước </t>
  </si>
  <si>
    <t>Giải ngân theo cơ chế tài chính trong nước</t>
  </si>
  <si>
    <t>Dự án cấp điện nông thôn từ lưới điện quốc gia tỉnh Kon Tum giai đoạn 2014 -2020</t>
  </si>
  <si>
    <t>Thực hiện theo tiến độ GTGC</t>
  </si>
  <si>
    <t>Chương trình mở rộng quy mô nước sạch nông thôn dựa trên kết quả</t>
  </si>
  <si>
    <t>Dự án Sửa chữa và nâng cao an toán đập</t>
  </si>
  <si>
    <t>Dự án phát triển khu vực biên giới tỉnh Kon Tum - Đầu tư nâng cấp Tỉnh lộ 675A</t>
  </si>
  <si>
    <t>Dự án chuyển đổi nông nghiệp bền vững trên địa bàn tỉnh Kon Tum (VnSat) giai đoạn 2015-2020</t>
  </si>
  <si>
    <t>2.</t>
  </si>
  <si>
    <t>Vay lại nguồn vốn nước ngoài để thực hiện dự án ODA</t>
  </si>
  <si>
    <t>3.</t>
  </si>
  <si>
    <t xml:space="preserve">3.1 </t>
  </si>
  <si>
    <t>Bổ sung các chương trình mục tiêu</t>
  </si>
  <si>
    <t>Ngành, lĩnh vực giao thông</t>
  </si>
  <si>
    <t>Ngành, lĩnh vực cấp nước, thoát nước</t>
  </si>
  <si>
    <t>Ngành, lĩnh vực công nghiệp</t>
  </si>
  <si>
    <t>Ngành, lĩnh vực nông nghiệp, lâm nghiệp, thủy lợi và thủy sản</t>
  </si>
  <si>
    <t>Ngành, lĩnh vực Quốc phòng</t>
  </si>
  <si>
    <t>Ngành, lĩnh vực Giáo dục</t>
  </si>
  <si>
    <t>Ngành, lĩnh vực Y tế</t>
  </si>
  <si>
    <t>Hỗ trợ đồng bào miền núi theo Quyết định số 2085/QĐ-TTg</t>
  </si>
  <si>
    <t>Hỗ trợ đồng bào miền núi theo Quyết định số 2086/QĐ-TTg</t>
  </si>
  <si>
    <t xml:space="preserve">Nguồn dự phòng ngân sách Trung ương 2019 - các dự án cấp bách </t>
  </si>
  <si>
    <t>Nguồn dự phòng ngân sách Trung ương 2020 - các dự án cấp khẩn cấp</t>
  </si>
  <si>
    <t>Dự phòng  ngân sách Trung ương 2020</t>
  </si>
  <si>
    <t>Viện trợ không hoàn lại của chính phủ Ai Len</t>
  </si>
  <si>
    <t>Vốn Trái phiếu Chính phủ</t>
  </si>
  <si>
    <t>TPCP - Ngành giao thông</t>
  </si>
  <si>
    <t>TPCP - Ngành Giáo dục</t>
  </si>
  <si>
    <t>Dự án phát triển trẻ em toàn diện tỉnh Kon Tum giai đoạn 2017-2021 (Ban Quản lý Dự án Phát triển trẻ thơ toàn diện tỉnh)</t>
  </si>
  <si>
    <t xml:space="preserve">Nguồn vốn vay còn lại chưa phân bổ </t>
  </si>
  <si>
    <t xml:space="preserve">Hỗ trợ chi phí học tập và miễn giảm học phí </t>
  </si>
  <si>
    <t xml:space="preserve">Hỗ trợ học sinh và trường phổ thông ở xã, thôn đặc biệt khó khăn </t>
  </si>
  <si>
    <t>Hỗ trợ kinh phí ăn trưa đối với trẻ em mẫu giáo và chính sách đối với giáo viên mầm non; chính sách ưu tiên đối với học sinh mẫu giáo, học sinh dân tộc ít người</t>
  </si>
  <si>
    <t>Kinh phí thực hiện Nghị định số 105/2020/NĐ-CP quy định chính sách phát triển giáo dục mầm non</t>
  </si>
  <si>
    <t>Chính sách ưu tiên với học sinh mẫu giáo, học sinh dân tộc ít người theo Nghị định 57/2017/NĐ-CP</t>
  </si>
  <si>
    <t>Hỗ trợ kinh phí đào tạo cán bộ quân sự cấp xã; kinh phí thực hiện đề án giảm thiểu hôn nhân cận huyết</t>
  </si>
  <si>
    <t>5.1</t>
  </si>
  <si>
    <t>5.2</t>
  </si>
  <si>
    <t xml:space="preserve">Hỗ trợ kinh phí mua thẻ BHYT cho các đối tượng </t>
  </si>
  <si>
    <t>Hỗ trợ kinh phí mua thẻ BHYT cho các đối tượng cận nghèo (Cấp KP trực tiếp về BHXH tỉnh)</t>
  </si>
  <si>
    <t>Hỗ trợ thực hiện chính sách đối với đối tượng bảo trợ xã hội; hỗ trợ tiền điện hộ nghèo, hộ chính sách xã hội; trợ giá trực tiếp cho người dân tộc thiểu số nghèo ở vùng khó khăn; hỗ trợ chính sách đối với người có uy tín trong đồng bào dân tộc thiểu số; hỗ trợ tổ chức, đơn vị sử dụng lao động là người dân tộc thiểu số</t>
  </si>
  <si>
    <t>9.1</t>
  </si>
  <si>
    <t>9.2</t>
  </si>
  <si>
    <t>9.3</t>
  </si>
  <si>
    <t>9.4</t>
  </si>
  <si>
    <t>Hỗ trợ kinh phí sản phẩm, dịch vụ công ích thủy lợi</t>
  </si>
  <si>
    <t>Bổ sung kinh phí thực hiện nhiệm vụ đảm bảo trật tự an toàn giao thông</t>
  </si>
  <si>
    <t>Kinh phí quản lý, bảo trì đường bộ cho các quỹ bảo trì đường bộ địa phương</t>
  </si>
  <si>
    <t>Hỗ trợ thực hiện một số Đề án, Dự án Khoa học và công nghệ</t>
  </si>
  <si>
    <t>Biểu số 53</t>
  </si>
  <si>
    <t>QUYẾT TOÁN CHI NGÂN SÁCH ĐỊA PHƯƠNG, CHI NGÂN SÁCH CẤP TỈNH VÀ CHI NGÂN SÁCH HUYỆN THEO CƠ CẤU CHI NĂM 2021</t>
  </si>
  <si>
    <t>(Kèm theo Nghị quyết số 84/NQ-HĐND ngày 09/12/2022 của Hội đồng nhân dân tỉnh Kon Tum)</t>
  </si>
  <si>
    <t>Đvt: Triệu đồng</t>
  </si>
  <si>
    <t>Dự toán năm 2021</t>
  </si>
  <si>
    <r>
      <t xml:space="preserve">Ghi chú: </t>
    </r>
    <r>
      <rPr>
        <i/>
        <sz val="10"/>
        <rFont val="Times New Roman"/>
        <family val="1"/>
      </rPr>
      <t>(1) Theo quy định tại Điều 7, Điều 11 và Điều 39 Luật NSNN, ngân sách huyện, xã không có nhiệm vụ chi nghiên cứu khoa học và công nghệ, chi trả lãi vay, chi bổ sung quỹ dự trữ tài chính.</t>
    </r>
  </si>
  <si>
    <t>Biểu mẫu số 52</t>
  </si>
  <si>
    <t>QUYẾT TOÁN CHI NGÂN SÁCH CẤP TỈNH THEO LĨNH VỰC NĂM 2021</t>
  </si>
  <si>
    <t>So sánh</t>
  </si>
  <si>
    <t>Tuyệt đối</t>
  </si>
  <si>
    <t>Tương đối (%) (3)</t>
  </si>
  <si>
    <t>3=2-1</t>
  </si>
  <si>
    <t>4=2/1</t>
  </si>
  <si>
    <t>CHI BỔ SUNG CÂN ĐỐI CHO NGÂN SÁCH CẤP DƯỚI (1)</t>
  </si>
  <si>
    <t>CHI NGÂN SÁCH CẤP TỈNH (HUYỆN, XÃ) THEO LĨNH VỰC</t>
  </si>
  <si>
    <t>1.11</t>
  </si>
  <si>
    <t>Chi quốc phòng, an ninh và trật tự an toàn xã hội</t>
  </si>
  <si>
    <t>1.12</t>
  </si>
  <si>
    <t>Chi khoa học và công nghệ (2)</t>
  </si>
  <si>
    <t>Chi thường xuyên khác</t>
  </si>
  <si>
    <t>Chi trả nợ gốc, lãi các khoản do chính quyền địa phương vay (2)</t>
  </si>
  <si>
    <t>Chi bổ sung quỹ dự trữ tài chính (2)</t>
  </si>
  <si>
    <t>IX</t>
  </si>
  <si>
    <t>CHI NỌP TRẢ NGÂN SÁCH CẤP TRÊN</t>
  </si>
  <si>
    <r>
      <t>Ghi chú:</t>
    </r>
    <r>
      <rPr>
        <i/>
        <sz val="10"/>
        <rFont val="Times New Roman"/>
        <family val="1"/>
      </rPr>
      <t xml:space="preserve"> (1) Ngân sách xã không có nhiệm vụ chi bổ sung cân đối cho ngân sách cấp dưới.</t>
    </r>
  </si>
  <si>
    <t>(2) Theo quy định tại Điều 7, Điều 11 và Điều 39 Luật NSNN, ngân sách huyện, xã không có nhiệm vụ chi nghiên cứu khoa học và công nghệ, chi trả lãi vay, chi bổ sung quỹ dự trữ tài chính.</t>
  </si>
  <si>
    <t>(3) Số quyết toán tăng so với số dự toán giao đầu năm là trong năm được cấp có thẩm quyền giao bổ sung từ nguồn Trung ương bổ sung có mục tiêu, nguồn năm trước chuyển sang, nguồn tăng thu NSĐP....</t>
  </si>
  <si>
    <t>Biểu số 54</t>
  </si>
  <si>
    <t>CHI BỔ SUNG QUỸ DỰ TRỮ TÀI CHÍNH, CHI DỰ PHÒNG, CHI BSMT CHO NGÂN SÁCH HUYỆN; CHI TỪ NGUỒN VIỆN TRỢ THUỘC NGUỒN THU NSĐP</t>
  </si>
  <si>
    <t>9=10+..+14+17</t>
  </si>
  <si>
    <t>17=18+19</t>
  </si>
  <si>
    <t>20=9/1</t>
  </si>
  <si>
    <t>21=10/2</t>
  </si>
  <si>
    <t>22=11/3</t>
  </si>
  <si>
    <t>23=14/6</t>
  </si>
  <si>
    <t>Sở Văn hoá Thể thao và Du lịch</t>
  </si>
  <si>
    <t>Thanh tra tỉnh</t>
  </si>
  <si>
    <t>Ban bảo vệ sức khỏe cán bộ</t>
  </si>
  <si>
    <t>Trường cao đẳng cộng đồng</t>
  </si>
  <si>
    <t>Hội người cao tuổi</t>
  </si>
  <si>
    <t>KP hoạt động BCĐ thi hành án dân sự tỉnh</t>
  </si>
  <si>
    <t>Hội bảo vệ người tiêu dùng</t>
  </si>
  <si>
    <t>Ban Quản lý Dự án phát triển trẻ thơ toàn diện tỉnh</t>
  </si>
  <si>
    <t>Liên đoàn lao động tỉnh</t>
  </si>
  <si>
    <t>Ban quản lý khai thác các công trình thủy lợi tỉnh</t>
  </si>
  <si>
    <t>Ban quản lý dự án chuyển đổi NN bền vững tỉnh Kon Tum</t>
  </si>
  <si>
    <t>BQL Khu bảo tồn Thiên nhiên Ngọc Linh</t>
  </si>
  <si>
    <t>Các tổ chức, đơn vị sử dụng lao động là người DTTS theo QĐ 42</t>
  </si>
  <si>
    <t>Bảo hiểm xã hội tỉnh</t>
  </si>
  <si>
    <t>77</t>
  </si>
  <si>
    <t>78</t>
  </si>
  <si>
    <t>Các đơn vị khác</t>
  </si>
  <si>
    <t>KP sắp xếp bộ máy theo NQ 18, 19/CP và biến động BC khác</t>
  </si>
  <si>
    <t>KP lập các Quy hoạch theo NQ 69/TW</t>
  </si>
  <si>
    <t>KP bầu cử các cấp</t>
  </si>
  <si>
    <t>CHI TRẢ NỢ GỐC, LÃI CÁC KHOẢN DO CHÍNH QUYỀN ĐỊA PHƯƠNG VAY; CHI CHO VAY TỪ NGUỒN VỐN TRONG NƯỚC</t>
  </si>
  <si>
    <t>CHI TỪ NGUỒN VIỆN TRỢ THUỘC NGUỒN THU NSĐP</t>
  </si>
  <si>
    <t>CHI CHO VAY TỪ NGUỒN VỐN TRONG NƯỚC</t>
  </si>
  <si>
    <t>X</t>
  </si>
  <si>
    <t xml:space="preserve">Nội dung </t>
  </si>
  <si>
    <t>Tổng chi cân đối NSĐP (bao gồm bội chi NSĐP)</t>
  </si>
  <si>
    <t>Tổng chi cân đối NSĐP</t>
  </si>
  <si>
    <t>46</t>
  </si>
  <si>
    <t>Tăng thu tiền sử dụng đất thành phố quản lý (1449)</t>
  </si>
  <si>
    <t>Tiền thuê đất thuộc Dự án đường Bà Triệu (3605)</t>
  </si>
  <si>
    <t>2.4</t>
  </si>
  <si>
    <t>Hỗ trợ kinh phí thực hiện nhiệm vụ đảm bảo trật tự an toàn giao thông</t>
  </si>
  <si>
    <t>2.5</t>
  </si>
  <si>
    <t>BQL khai thác các công trình thủy lợi</t>
  </si>
  <si>
    <t>Sở Giao thông vận tải</t>
  </si>
  <si>
    <t>Ban An toàn giao thông</t>
  </si>
  <si>
    <t>Sở Xây dựng</t>
  </si>
  <si>
    <t>Sở Tài nguyên Môi trường</t>
  </si>
  <si>
    <t xml:space="preserve">Sở Công Thương </t>
  </si>
  <si>
    <t>Sở Giáo dục Đào tạo</t>
  </si>
  <si>
    <t>Sở Y tế</t>
  </si>
  <si>
    <t>Sở Lao động Thương binh Xã hội</t>
  </si>
  <si>
    <t xml:space="preserve">Sở Tư pháp </t>
  </si>
  <si>
    <t>Văn phòng Tỉnh Uỷ</t>
  </si>
  <si>
    <t>Sở Khoa học công nghệ</t>
  </si>
  <si>
    <t xml:space="preserve">Tỉnh đoàn </t>
  </si>
  <si>
    <t>Sở Thông tin truyền thông</t>
  </si>
  <si>
    <t xml:space="preserve">Ban Quản lý Khu Kinh tế  </t>
  </si>
  <si>
    <t>BQL Vườn quốc gia Chư Mom Ray</t>
  </si>
  <si>
    <t xml:space="preserve">Trường Chính trị </t>
  </si>
  <si>
    <t xml:space="preserve"> Đài phát thanh - Truyền hình</t>
  </si>
  <si>
    <t>Văn phòng Đoàn ĐBQH và HĐND tỉnh</t>
  </si>
  <si>
    <t xml:space="preserve">Sở Kế hoạch Đầu tư </t>
  </si>
  <si>
    <t xml:space="preserve">Sở Tài chính </t>
  </si>
  <si>
    <t xml:space="preserve">Hội Cựu chiến binh </t>
  </si>
  <si>
    <t xml:space="preserve">Hội Nông dân </t>
  </si>
  <si>
    <t xml:space="preserve">Hội liên hiệp phụ nữ tỉnh </t>
  </si>
  <si>
    <t>Chi Cục Kiểm lâm</t>
  </si>
  <si>
    <t>Ban quản lý dự án đầu tư xây dựng các công trình Nông nghiệp và PTNT</t>
  </si>
  <si>
    <t>Ban quản lý DA chuyển đổi NN bền vững tỉnh Kon Tum  (VnSat)</t>
  </si>
  <si>
    <t>Hội nạn nhân chất độc da cam/dioxin</t>
  </si>
  <si>
    <t>Hội Bảo vệ quyền trẻ em và bảo trợ người khuyết tật</t>
  </si>
  <si>
    <t xml:space="preserve">Liên hiệp các hội KH và kỹ thuật </t>
  </si>
  <si>
    <t>Liên minh Hợp tác xã</t>
  </si>
  <si>
    <t>Đoàn Luật sư</t>
  </si>
  <si>
    <t xml:space="preserve">Liên đoàn Lao động tỉnh </t>
  </si>
  <si>
    <t>Công ty TNHH MTV Lâm nghiệp Đăk Glei</t>
  </si>
  <si>
    <t>Công ty TNHH MTV Lâm nghiệp Kon Rẫy</t>
  </si>
  <si>
    <t>Công ty TNHH MTV Lâm nghiệp Sa Thầy</t>
  </si>
  <si>
    <t>Công ty TNHH MTV Lâm nghiệp Ngọc Hồi</t>
  </si>
  <si>
    <t>Công ty TNHH MTV Lâm nghiệp Đăk Tô</t>
  </si>
  <si>
    <t>Công ty TNHH MTV Lâm nghiệp Kon Plong</t>
  </si>
  <si>
    <t>Công ty TNHH MTV Lâm nghiệp Ia H'Drai</t>
  </si>
  <si>
    <t>Công ty cổ phần Sâm Ngọc Linh Kon Tum</t>
  </si>
  <si>
    <t>Công ty cổ phần đầu tư phát triển Duy Tân</t>
  </si>
  <si>
    <t>Công ty TNHH MTV Cao su Chư Momray</t>
  </si>
  <si>
    <t>Công ty cổ phần Cao su Sa Thầy</t>
  </si>
  <si>
    <t>BQL Khu BTTN Ngọc Linh</t>
  </si>
  <si>
    <t>CHI TỪ NGUỒN GIAO TĂNG THU SO DỰ TOÁN TRUNG ƯƠNG GIAO</t>
  </si>
  <si>
    <t>Huyện Ngọc Hồi</t>
  </si>
  <si>
    <t>Huyện Ia'H Drai</t>
  </si>
  <si>
    <t>4=5+8</t>
  </si>
  <si>
    <t>5=6+7</t>
  </si>
  <si>
    <t>8=9+10</t>
  </si>
  <si>
    <t>11=12+15</t>
  </si>
  <si>
    <t>12=13+14</t>
  </si>
  <si>
    <t>15=16+17</t>
  </si>
  <si>
    <t>Sở Nông nghiệp và Phát triển nông thôn</t>
  </si>
  <si>
    <t>Sở Lao động - Thương binh và Xã hội</t>
  </si>
  <si>
    <t>Sở Công Thương</t>
  </si>
  <si>
    <t>Sở Giáo dục và Đào tạo</t>
  </si>
  <si>
    <t>Trường Cao đẳng Cộng đồng Kon Tum</t>
  </si>
  <si>
    <t>Sở Văn hóa, Thể thao và Du lịch</t>
  </si>
  <si>
    <t>Hội Liên hiệp Phụ nữ tỉnh</t>
  </si>
  <si>
    <t>Liên minh Hợp tác xã tỉnh</t>
  </si>
  <si>
    <t>Hội Nông dân tỉnh</t>
  </si>
  <si>
    <t>Tỉnh đoàn</t>
  </si>
  <si>
    <t>Sở Thông tin và Truyền thông</t>
  </si>
  <si>
    <t>Sở Kế hoạch và Đầu tư</t>
  </si>
  <si>
    <t>Sở Tư pháp</t>
  </si>
  <si>
    <t>Sở Giao thông Vận tải</t>
  </si>
  <si>
    <t>Ngân hàng Nhà nước Việt Nam - Chi nhánh tỉnh Kon Tum</t>
  </si>
  <si>
    <t>Ban quản lý Vườn quốc gia Chư Mom Ray</t>
  </si>
  <si>
    <t>Công ty TNHH MTV Lâm nghiệp Kon Plông</t>
  </si>
  <si>
    <t>(Kèm theo Quyết định số        /QĐ-UBND ngày       /     /        của Uỷ ban nhân dân tỉnh Kon Tum)</t>
  </si>
  <si>
    <t>CÂN ĐỐI NGÂN SÁCH ĐỊA PHƯƠNG NĂM 2023</t>
  </si>
  <si>
    <t xml:space="preserve">Chi trả nợ lãi, phí tiền vay </t>
  </si>
  <si>
    <t>Chi trả nợ gốc</t>
  </si>
  <si>
    <t>Thu từ khu vực DNNN do địa phương quản lý (2)</t>
  </si>
  <si>
    <t>Thu từ khu vực doanh nghiệp có vốn đầu tư nước ngoài (3)</t>
  </si>
  <si>
    <t>Thu từ khu vực kinh tế ngoài quốc doanh (4)</t>
  </si>
  <si>
    <t>Thu hồi vốn, thu cổ tức (5)</t>
  </si>
  <si>
    <t>Lợi nhuận được chia của Nhà nước và lợi nhuận sau thuế còn lại sau khi trích lập các quỹ của doanh nghiệp nhà nước (5)</t>
  </si>
  <si>
    <t>Chênh lệch thu chi Ngân hàng Nhà nước (5)</t>
  </si>
  <si>
    <t>Chi trả nợ lãi, phí tiền vay</t>
  </si>
  <si>
    <t>Chương trình mục tiêu quốc gia phát triển KT-XH vùng DTTS và Miền núi</t>
  </si>
  <si>
    <t xml:space="preserve">2.1 </t>
  </si>
  <si>
    <t>Chương trình phục hồi và phát triển kinh tế - xã hội</t>
  </si>
  <si>
    <t xml:space="preserve">Hỗ trợ doanh nghiệp vừa và nhỏ </t>
  </si>
  <si>
    <t>Bổ sung thực hiện Chương trình phát triển lâm nghiệp bền vững</t>
  </si>
  <si>
    <t>2.6</t>
  </si>
  <si>
    <t>2.7</t>
  </si>
  <si>
    <t>2.8</t>
  </si>
  <si>
    <t xml:space="preserve">Ngành, lĩnh vực khác </t>
  </si>
  <si>
    <t>1.13</t>
  </si>
  <si>
    <t>QUYẾT TOÁN CHI NGÂN SÁCH CẤP TỈNH THEO TỪNG LĨNH VỰC NĂM 2023</t>
  </si>
  <si>
    <t>QUYẾT TOÁN CHI NGÂN SÁCH ĐỊA PHƯƠNG, CHI NGÂN SÁCH CẤP TỈNH  VÀ CHI NGÂN SÁCH HUYỆN THEO CƠ CẤU CHI NĂM 2023</t>
  </si>
  <si>
    <t>QUYẾT TOÁN THU NGÂN SÁCH NHÀ NƯỚC NĂM 2023</t>
  </si>
  <si>
    <t>Dự phòng ngân sách Trung ương 2022</t>
  </si>
  <si>
    <t>Hỗ trợ các Hội Văn học nghệ thuật địa phương</t>
  </si>
  <si>
    <t>Hỗ trợ các Hội Nhà báo địa phương</t>
  </si>
  <si>
    <t>Kinh phí thực hiện Chương trình trợ giúp xã hội và PHCN cho người tâm thần, trẻ em tự kỷ và người rối nhiễu tâm trí; chương trình phát triển công tác xã hội</t>
  </si>
  <si>
    <t xml:space="preserve">Hỗ trợ bồi dưỡng cán bộ, công chức Hội Liên hiệp các cấp và Chi hội trưởng Phụ nữ </t>
  </si>
  <si>
    <t xml:space="preserve">Kinh phí quản lý, bảo trì đường bộ </t>
  </si>
  <si>
    <t>CHI BỔ SUNG QUỸ DỰ TRỮ TÀI CHÍNH, CHI DỰ PHÒNG, CHI BSMT CHO NGÂN SÁCH HUYỆN; CHI TỪ NGUỒN BỘI CHI NSĐP, CHI TỪ NGUỒN GIAO TĂNG THU SO DỰ TOÁN TRUNG ƯƠNG GIAO</t>
  </si>
  <si>
    <t>CHI DỰ PHÒNG, CHI BỔ SUNG CHO NGÂN SÁCH CẤP DƯỚI, CHI TỪ NGUỒN VIỆN TRỢ THUỘC NGUỒN THU NSĐP</t>
  </si>
  <si>
    <t>Sở NN và PT nông thôn</t>
  </si>
  <si>
    <t xml:space="preserve">Sở  Văn hoá - Thể thao và  Du lịch </t>
  </si>
  <si>
    <t>Trường Cao đẳng Kon Tum</t>
  </si>
  <si>
    <t>Thanh tra nhà nước</t>
  </si>
  <si>
    <t>Ban Quản lý dự án đầu tư xây dựng các công trình giao thông, dân dụng và công nghiệp tỉnh Kon Tum (trước đây là ban QL 98)</t>
  </si>
  <si>
    <t>Hội Cựu giáo chức Kon Tum</t>
  </si>
  <si>
    <t>Hội hữu nghị Việt - Lào; Việt Nam - Campuchia</t>
  </si>
  <si>
    <t>Liên đoàn cầu lông tỉnh</t>
  </si>
  <si>
    <t>Nguồn tập trung tại tỉnh</t>
  </si>
  <si>
    <t>Hội Bảo vệ người tiêu dùng</t>
  </si>
  <si>
    <t>Công ty Nông nghiệp sạch Tây Nguyên</t>
  </si>
  <si>
    <t>Quỹ phát triển đất tỉnh Kon Tum</t>
  </si>
  <si>
    <t>Huyện Kon Plông</t>
  </si>
  <si>
    <t xml:space="preserve">CHI BỔ SUNG CHO NGÂN SÁCH CẤP DƯỚI </t>
  </si>
  <si>
    <t>XI</t>
  </si>
  <si>
    <t>QUYẾT TOÁN CHI BỔ SUNG TỪ NGÂN SÁCH CẤP TỈNH CHO NGÂN SÁCH HUYỆN NĂM 2023</t>
  </si>
  <si>
    <t>QUYẾT TOÁN CHI CHƯƠNG TRÌNH MỤC TIÊU QUỐC GIA NĂM 2023</t>
  </si>
  <si>
    <t>DỰ TOÁN TRUNG ƯƠNG BỔ SUNG CÓ MỤC TIÊU NĂM 2023</t>
  </si>
  <si>
    <t>2=5+12</t>
  </si>
  <si>
    <t>3=8+15</t>
  </si>
  <si>
    <t>1=2+4</t>
  </si>
  <si>
    <t>2=5+13</t>
  </si>
  <si>
    <t>3=8+16</t>
  </si>
  <si>
    <t>4=5+9</t>
  </si>
  <si>
    <t>5=6+8</t>
  </si>
  <si>
    <t>8=9+11</t>
  </si>
  <si>
    <t>11=12+16</t>
  </si>
  <si>
    <t>12=13+15</t>
  </si>
  <si>
    <t>15=16+18</t>
  </si>
  <si>
    <t>35=18/1</t>
  </si>
  <si>
    <t>36=19/2</t>
  </si>
  <si>
    <t>37=20/3</t>
  </si>
  <si>
    <t>38=21/4</t>
  </si>
  <si>
    <t>39=22/5</t>
  </si>
  <si>
    <t>40=23/6</t>
  </si>
  <si>
    <t>41=24/7</t>
  </si>
  <si>
    <t>45=25/8</t>
  </si>
  <si>
    <t>46=26/9</t>
  </si>
  <si>
    <t>47=27/10</t>
  </si>
  <si>
    <t>48=28/11</t>
  </si>
  <si>
    <t>49=29/12</t>
  </si>
  <si>
    <t>50=30/13</t>
  </si>
  <si>
    <t>51=31/14</t>
  </si>
  <si>
    <t>52=32/15</t>
  </si>
  <si>
    <t>53=33/16</t>
  </si>
  <si>
    <t>54=34/17</t>
  </si>
  <si>
    <t>Ban Dân tộc tỉnh</t>
  </si>
  <si>
    <t>Ủy ban Mặt trận Tổ quốc Việt Nam tỉnh</t>
  </si>
  <si>
    <t>Văn phòng Tỉnh ủy</t>
  </si>
  <si>
    <t>QUYẾT TOÁN CHI NGÂN SÁCH CẤP TỈNH THEO CHO TỪNG CƠ QUAN, TỔ CHỨC NĂM 2023</t>
  </si>
  <si>
    <t>(Kèm theo Quyết định số 830 /QĐ-UBND ngày 16/12/2024 của Uỷ ban nhân dân tỉnh Kon 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</si>
</sst>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00\ _₫_-;\-* #,##0.00\ _₫_-;_-* &quot;-&quot;??\ _₫_-;_-@_-"/>
    <numFmt numFmtId="166" formatCode="_(* #,##0.0_);_(* \(#,##0.0\);_(* &quot;-&quot;??_);_(@_)"/>
    <numFmt numFmtId="167" formatCode="_(* #,##0_);_(* \(#,##0\);_(* &quot;-&quot;??_);_(@_)"/>
    <numFmt numFmtId="168" formatCode="_(* #,##0.00_);_(* \(#,##0.00\);_(* \-??_);_(@_)"/>
    <numFmt numFmtId="169" formatCode="_-* #,##0\ _₫_-;\-* #,##0\ _₫_-;_-* &quot;-&quot;??\ _₫_-;_-@_-"/>
    <numFmt numFmtId="170" formatCode="_-* #,##0_-;\-* #,##0_-;_-* &quot;-&quot;??_-;_-@_-"/>
    <numFmt numFmtId="171" formatCode="_(* #,##0.00000_);_(* \(#,##0.00000\);_(* &quot;-&quot;??_);_(@_)"/>
  </numFmts>
  <fonts count="55" x14ac:knownFonts="1">
    <font>
      <sz val="11"/>
      <color theme="1"/>
      <name val="Calibri"/>
      <family val="2"/>
      <scheme val="minor"/>
    </font>
    <font>
      <sz val="11"/>
      <color theme="1"/>
      <name val="Calibri"/>
      <family val="2"/>
      <charset val="163"/>
      <scheme val="minor"/>
    </font>
    <font>
      <sz val="11"/>
      <color theme="1"/>
      <name val="Calibri"/>
      <family val="2"/>
      <charset val="163"/>
      <scheme val="minor"/>
    </font>
    <font>
      <sz val="12"/>
      <color theme="1"/>
      <name val="Times New Roman"/>
      <family val="2"/>
    </font>
    <font>
      <sz val="11"/>
      <color theme="1"/>
      <name val="Calibri"/>
      <family val="2"/>
      <scheme val="minor"/>
    </font>
    <font>
      <sz val="10"/>
      <name val="Arial"/>
      <family val="2"/>
    </font>
    <font>
      <b/>
      <sz val="12"/>
      <color rgb="FF000000"/>
      <name val="Times New Roman"/>
      <family val="1"/>
    </font>
    <font>
      <i/>
      <sz val="12"/>
      <color rgb="FF000000"/>
      <name val="Times New Roman"/>
      <family val="1"/>
    </font>
    <font>
      <sz val="12"/>
      <color rgb="FF000000"/>
      <name val="Times New Roman"/>
      <family val="1"/>
    </font>
    <font>
      <b/>
      <sz val="12"/>
      <color rgb="FFFF0000"/>
      <name val="Times New Roman"/>
      <family val="1"/>
    </font>
    <font>
      <sz val="10"/>
      <color rgb="FF000000"/>
      <name val="Times New Roman"/>
      <family val="1"/>
    </font>
    <font>
      <sz val="11"/>
      <name val="Times New Roman"/>
      <family val="1"/>
    </font>
    <font>
      <b/>
      <sz val="11"/>
      <name val="Times New Roman"/>
      <family val="1"/>
    </font>
    <font>
      <b/>
      <sz val="12"/>
      <name val="Times New Roman"/>
      <family val="1"/>
    </font>
    <font>
      <i/>
      <sz val="11"/>
      <name val="Times New Roman"/>
      <family val="1"/>
    </font>
    <font>
      <sz val="12"/>
      <name val="Times New Roman"/>
      <family val="1"/>
    </font>
    <font>
      <sz val="10"/>
      <name val="Times New Roman"/>
      <family val="1"/>
    </font>
    <font>
      <b/>
      <sz val="13"/>
      <name val="Times New Roman"/>
      <family val="1"/>
    </font>
    <font>
      <i/>
      <sz val="12"/>
      <name val="Times New Roman"/>
      <family val="1"/>
    </font>
    <font>
      <sz val="11"/>
      <color indexed="8"/>
      <name val="Calibri"/>
      <family val="2"/>
    </font>
    <font>
      <b/>
      <sz val="10"/>
      <name val="Times New Roman"/>
      <family val="1"/>
    </font>
    <font>
      <sz val="12"/>
      <color theme="1"/>
      <name val="Times New Roman"/>
      <family val="1"/>
    </font>
    <font>
      <b/>
      <sz val="12"/>
      <color theme="1"/>
      <name val="Times New Roman"/>
      <family val="1"/>
    </font>
    <font>
      <sz val="9"/>
      <name val="Times New Roman"/>
      <family val="1"/>
    </font>
    <font>
      <b/>
      <sz val="9"/>
      <name val="Times New Roman"/>
      <family val="1"/>
    </font>
    <font>
      <sz val="8"/>
      <name val="Times New Roman"/>
      <family val="1"/>
    </font>
    <font>
      <i/>
      <sz val="12"/>
      <color theme="1"/>
      <name val="Times New Roman"/>
      <family val="1"/>
    </font>
    <font>
      <sz val="12"/>
      <color rgb="FFFF0000"/>
      <name val="Times New Roman"/>
      <family val="1"/>
    </font>
    <font>
      <b/>
      <sz val="11"/>
      <color rgb="FFFF0000"/>
      <name val="Times New Roman"/>
      <family val="1"/>
    </font>
    <font>
      <i/>
      <sz val="13"/>
      <name val="Times New Roman"/>
      <family val="1"/>
    </font>
    <font>
      <b/>
      <sz val="10"/>
      <name val="Times New Roman"/>
      <family val="1"/>
      <charset val="163"/>
    </font>
    <font>
      <i/>
      <sz val="10"/>
      <name val="Times New Roman"/>
      <family val="1"/>
    </font>
    <font>
      <b/>
      <i/>
      <sz val="12"/>
      <name val="Times New Roman"/>
      <family val="1"/>
    </font>
    <font>
      <sz val="11"/>
      <name val="Calibri"/>
      <family val="2"/>
      <scheme val="minor"/>
    </font>
    <font>
      <sz val="11"/>
      <name val="Times New Roman"/>
      <family val="1"/>
      <charset val="163"/>
    </font>
    <font>
      <sz val="10"/>
      <name val="Times New Roman"/>
      <family val="1"/>
      <charset val="163"/>
    </font>
    <font>
      <i/>
      <sz val="10"/>
      <name val="Times New Roman"/>
      <family val="1"/>
      <charset val="163"/>
    </font>
    <font>
      <b/>
      <sz val="10"/>
      <color rgb="FFFF0000"/>
      <name val="Times New Roman"/>
      <family val="1"/>
      <charset val="163"/>
    </font>
    <font>
      <sz val="11"/>
      <color theme="0"/>
      <name val="Times New Roman"/>
      <family val="1"/>
    </font>
    <font>
      <i/>
      <sz val="10"/>
      <color rgb="FF000000"/>
      <name val="Arial"/>
      <family val="2"/>
    </font>
    <font>
      <i/>
      <sz val="11"/>
      <color theme="0"/>
      <name val="Times New Roman"/>
      <family val="1"/>
    </font>
    <font>
      <b/>
      <i/>
      <sz val="10"/>
      <name val="Times New Roman"/>
      <family val="1"/>
    </font>
    <font>
      <b/>
      <sz val="11"/>
      <name val="Times New Roman"/>
      <family val="1"/>
      <charset val="163"/>
    </font>
    <font>
      <sz val="11"/>
      <color rgb="FFFF0000"/>
      <name val="Times New Roman"/>
      <family val="1"/>
      <charset val="163"/>
    </font>
    <font>
      <i/>
      <sz val="10"/>
      <name val="Arial"/>
      <family val="2"/>
      <charset val="163"/>
    </font>
    <font>
      <sz val="11"/>
      <color theme="0"/>
      <name val="Times New Roman"/>
      <family val="1"/>
      <charset val="163"/>
    </font>
    <font>
      <i/>
      <sz val="11"/>
      <color theme="0"/>
      <name val="Times New Roman"/>
      <family val="1"/>
      <charset val="163"/>
    </font>
    <font>
      <b/>
      <i/>
      <sz val="10"/>
      <name val="Times New Roman"/>
      <family val="1"/>
      <charset val="163"/>
    </font>
    <font>
      <i/>
      <sz val="13"/>
      <color rgb="FFFF0000"/>
      <name val="Times New Roman"/>
      <family val="1"/>
    </font>
    <font>
      <sz val="12"/>
      <color theme="0"/>
      <name val="Times New Roman"/>
      <family val="1"/>
    </font>
    <font>
      <i/>
      <sz val="10"/>
      <name val="Arial"/>
      <family val="2"/>
    </font>
    <font>
      <sz val="12"/>
      <color rgb="FF0000FF"/>
      <name val="Times New Roman"/>
      <family val="1"/>
    </font>
    <font>
      <b/>
      <sz val="9"/>
      <color indexed="81"/>
      <name val="Tahoma"/>
      <family val="2"/>
    </font>
    <font>
      <b/>
      <sz val="11"/>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hair">
        <color auto="1"/>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s>
  <cellStyleXfs count="20">
    <xf numFmtId="0" fontId="0" fillId="0" borderId="0"/>
    <xf numFmtId="43"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9" fillId="0" borderId="0"/>
    <xf numFmtId="43" fontId="5"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168" fontId="5" fillId="0" borderId="0" applyFill="0" applyBorder="0" applyAlignment="0" applyProtection="0"/>
    <xf numFmtId="168" fontId="5" fillId="0" borderId="0" applyFill="0" applyBorder="0" applyAlignment="0" applyProtection="0"/>
    <xf numFmtId="0" fontId="5" fillId="0" borderId="0"/>
    <xf numFmtId="9" fontId="4" fillId="0" borderId="0" applyFont="0" applyFill="0" applyBorder="0" applyAlignment="0" applyProtection="0"/>
    <xf numFmtId="9" fontId="2" fillId="0" borderId="0" applyFont="0" applyFill="0" applyBorder="0" applyAlignment="0" applyProtection="0"/>
    <xf numFmtId="165" fontId="4" fillId="0" borderId="0" applyFont="0" applyFill="0" applyBorder="0" applyAlignment="0" applyProtection="0"/>
    <xf numFmtId="43" fontId="5" fillId="0" borderId="0" applyFont="0" applyFill="0" applyBorder="0" applyAlignment="0" applyProtection="0"/>
    <xf numFmtId="9" fontId="1" fillId="0" borderId="0" applyFont="0" applyFill="0" applyBorder="0" applyAlignment="0" applyProtection="0"/>
    <xf numFmtId="164" fontId="5" fillId="0" borderId="0" applyFont="0" applyFill="0" applyBorder="0" applyAlignment="0" applyProtection="0"/>
    <xf numFmtId="9" fontId="1" fillId="0" borderId="0" applyFont="0" applyFill="0" applyBorder="0" applyAlignment="0" applyProtection="0"/>
  </cellStyleXfs>
  <cellXfs count="353">
    <xf numFmtId="0" fontId="0" fillId="0" borderId="0" xfId="0"/>
    <xf numFmtId="0" fontId="15" fillId="0" borderId="0" xfId="0" applyFont="1" applyAlignment="1">
      <alignment horizontal="left" vertical="center"/>
    </xf>
    <xf numFmtId="0" fontId="9" fillId="0" borderId="0" xfId="0" applyFont="1" applyAlignment="1">
      <alignment horizontal="left"/>
    </xf>
    <xf numFmtId="0" fontId="13" fillId="0" borderId="4" xfId="0" applyFont="1" applyBorder="1" applyAlignment="1">
      <alignment horizontal="center" vertical="center" wrapText="1"/>
    </xf>
    <xf numFmtId="167" fontId="15" fillId="0" borderId="5" xfId="1" applyNumberFormat="1" applyFont="1" applyBorder="1" applyAlignment="1">
      <alignment vertical="center" wrapText="1"/>
    </xf>
    <xf numFmtId="166" fontId="15" fillId="0" borderId="5" xfId="1" applyNumberFormat="1" applyFont="1" applyBorder="1" applyAlignment="1">
      <alignment horizontal="center" vertical="center" wrapText="1"/>
    </xf>
    <xf numFmtId="167" fontId="15" fillId="0" borderId="0" xfId="0" applyNumberFormat="1" applyFont="1"/>
    <xf numFmtId="166" fontId="15" fillId="0" borderId="0" xfId="1" applyNumberFormat="1" applyFont="1"/>
    <xf numFmtId="166" fontId="13" fillId="0" borderId="0" xfId="1" applyNumberFormat="1" applyFont="1" applyAlignment="1">
      <alignment horizontal="left" vertical="center"/>
    </xf>
    <xf numFmtId="0" fontId="15" fillId="0" borderId="0" xfId="0" applyFont="1"/>
    <xf numFmtId="167" fontId="15" fillId="0" borderId="0" xfId="1" applyNumberFormat="1" applyFont="1"/>
    <xf numFmtId="0" fontId="18" fillId="0" borderId="0" xfId="0" applyFont="1" applyAlignment="1">
      <alignment horizontal="left" vertical="center"/>
    </xf>
    <xf numFmtId="167" fontId="13" fillId="0" borderId="4" xfId="1" applyNumberFormat="1" applyFont="1" applyBorder="1" applyAlignment="1">
      <alignment horizontal="center" vertical="center" wrapText="1"/>
    </xf>
    <xf numFmtId="167" fontId="15" fillId="0" borderId="5" xfId="1" applyNumberFormat="1" applyFont="1" applyBorder="1" applyAlignment="1">
      <alignment horizontal="center" vertical="center" wrapText="1"/>
    </xf>
    <xf numFmtId="167" fontId="15" fillId="2" borderId="5" xfId="1" applyNumberFormat="1" applyFont="1" applyFill="1" applyBorder="1" applyAlignment="1">
      <alignment horizontal="center" vertical="center" wrapText="1"/>
    </xf>
    <xf numFmtId="0" fontId="13" fillId="0" borderId="0" xfId="0" applyFont="1" applyAlignment="1">
      <alignment horizontal="left" vertical="center"/>
    </xf>
    <xf numFmtId="0" fontId="15" fillId="0" borderId="0" xfId="0" applyFont="1" applyAlignment="1">
      <alignment vertical="center"/>
    </xf>
    <xf numFmtId="0" fontId="15" fillId="0" borderId="6" xfId="0" applyFont="1" applyBorder="1" applyAlignment="1">
      <alignment horizontal="center" vertical="center" wrapText="1"/>
    </xf>
    <xf numFmtId="0" fontId="15" fillId="0" borderId="6" xfId="0" applyFont="1" applyBorder="1" applyAlignment="1">
      <alignment vertical="center" wrapText="1"/>
    </xf>
    <xf numFmtId="167" fontId="15" fillId="0" borderId="6" xfId="1" applyNumberFormat="1" applyFont="1" applyBorder="1" applyAlignment="1">
      <alignment horizontal="center" vertical="center" wrapText="1"/>
    </xf>
    <xf numFmtId="0" fontId="9" fillId="0" borderId="0" xfId="0" applyFont="1"/>
    <xf numFmtId="0" fontId="15" fillId="0" borderId="0" xfId="0" applyFont="1" applyAlignment="1">
      <alignment horizontal="left"/>
    </xf>
    <xf numFmtId="167" fontId="13" fillId="2" borderId="4" xfId="1" applyNumberFormat="1" applyFont="1" applyFill="1" applyBorder="1" applyAlignment="1">
      <alignment horizontal="center" vertical="center" wrapText="1"/>
    </xf>
    <xf numFmtId="166" fontId="15" fillId="2" borderId="5" xfId="1" applyNumberFormat="1" applyFont="1" applyFill="1" applyBorder="1" applyAlignment="1">
      <alignment horizontal="center" vertical="center" wrapText="1"/>
    </xf>
    <xf numFmtId="167" fontId="15" fillId="2" borderId="6" xfId="1" applyNumberFormat="1" applyFont="1" applyFill="1" applyBorder="1" applyAlignment="1">
      <alignment horizontal="center" vertical="center" wrapText="1"/>
    </xf>
    <xf numFmtId="167" fontId="13" fillId="0" borderId="0" xfId="1" applyNumberFormat="1" applyFont="1" applyFill="1"/>
    <xf numFmtId="0" fontId="13" fillId="0" borderId="0" xfId="0" applyFont="1"/>
    <xf numFmtId="167" fontId="15" fillId="0" borderId="0" xfId="1" applyNumberFormat="1" applyFont="1" applyFill="1"/>
    <xf numFmtId="167" fontId="13" fillId="0" borderId="0" xfId="0" applyNumberFormat="1" applyFont="1"/>
    <xf numFmtId="0" fontId="15" fillId="0" borderId="0" xfId="0" applyFont="1" applyAlignment="1">
      <alignment horizontal="center" vertical="center"/>
    </xf>
    <xf numFmtId="0" fontId="13" fillId="0" borderId="1" xfId="0" applyFont="1" applyBorder="1" applyAlignment="1">
      <alignment horizontal="center" vertical="center" wrapText="1"/>
    </xf>
    <xf numFmtId="0" fontId="15" fillId="0" borderId="5" xfId="0" applyFont="1" applyBorder="1" applyAlignment="1">
      <alignment vertical="center" wrapText="1"/>
    </xf>
    <xf numFmtId="0" fontId="15" fillId="0" borderId="5" xfId="0" applyFont="1" applyBorder="1" applyAlignment="1">
      <alignment horizontal="center" vertical="center" wrapText="1"/>
    </xf>
    <xf numFmtId="0" fontId="15" fillId="0" borderId="9" xfId="0" applyFont="1" applyBorder="1" applyAlignment="1">
      <alignment vertical="center" wrapText="1"/>
    </xf>
    <xf numFmtId="0" fontId="15" fillId="0" borderId="1" xfId="0" applyFont="1" applyBorder="1" applyAlignment="1">
      <alignment horizontal="center" vertical="center" wrapText="1"/>
    </xf>
    <xf numFmtId="166" fontId="15" fillId="0" borderId="0" xfId="1" applyNumberFormat="1" applyFont="1" applyFill="1"/>
    <xf numFmtId="0" fontId="13" fillId="0" borderId="0" xfId="0" applyFont="1" applyAlignment="1">
      <alignment vertical="center"/>
    </xf>
    <xf numFmtId="0" fontId="21" fillId="0" borderId="0" xfId="0" applyFont="1" applyAlignment="1">
      <alignment vertical="center"/>
    </xf>
    <xf numFmtId="3" fontId="21" fillId="0" borderId="0" xfId="0" applyNumberFormat="1" applyFont="1" applyAlignment="1">
      <alignment vertical="center"/>
    </xf>
    <xf numFmtId="3" fontId="22" fillId="0" borderId="0" xfId="0" applyNumberFormat="1" applyFont="1" applyAlignment="1">
      <alignment vertical="center"/>
    </xf>
    <xf numFmtId="0" fontId="22" fillId="0" borderId="0" xfId="0" applyFont="1" applyAlignment="1">
      <alignment vertical="center"/>
    </xf>
    <xf numFmtId="0" fontId="26" fillId="0" borderId="0" xfId="0" applyFont="1" applyAlignment="1">
      <alignment vertical="center"/>
    </xf>
    <xf numFmtId="0" fontId="14" fillId="0" borderId="0" xfId="0" applyFont="1" applyAlignment="1">
      <alignment horizontal="left" vertical="center"/>
    </xf>
    <xf numFmtId="167" fontId="13" fillId="0" borderId="0" xfId="1" applyNumberFormat="1" applyFont="1" applyFill="1" applyAlignment="1">
      <alignment vertical="center"/>
    </xf>
    <xf numFmtId="167" fontId="13" fillId="0" borderId="0" xfId="0" applyNumberFormat="1" applyFont="1" applyAlignment="1">
      <alignment vertical="center"/>
    </xf>
    <xf numFmtId="167" fontId="15" fillId="0" borderId="0" xfId="0" applyNumberFormat="1" applyFont="1" applyAlignment="1">
      <alignment vertical="center"/>
    </xf>
    <xf numFmtId="170" fontId="15" fillId="0" borderId="0" xfId="0" applyNumberFormat="1" applyFont="1" applyAlignment="1">
      <alignment vertical="center"/>
    </xf>
    <xf numFmtId="0" fontId="27" fillId="0" borderId="0" xfId="0" applyFont="1"/>
    <xf numFmtId="0" fontId="17" fillId="0" borderId="0" xfId="0" applyFont="1" applyAlignment="1">
      <alignment horizontal="left" vertical="center"/>
    </xf>
    <xf numFmtId="0" fontId="11" fillId="0" borderId="0" xfId="0" applyFont="1"/>
    <xf numFmtId="0" fontId="30" fillId="0" borderId="0" xfId="0" applyFont="1" applyAlignment="1">
      <alignment vertical="center" wrapText="1"/>
    </xf>
    <xf numFmtId="167" fontId="29" fillId="0" borderId="0" xfId="0" applyNumberFormat="1" applyFont="1" applyAlignment="1">
      <alignment horizontal="center" vertical="center" wrapText="1"/>
    </xf>
    <xf numFmtId="0" fontId="12" fillId="0" borderId="0" xfId="0" applyFont="1"/>
    <xf numFmtId="0" fontId="1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0" fillId="0" borderId="0" xfId="0" applyFont="1"/>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3" fillId="0" borderId="0" xfId="0" applyFont="1"/>
    <xf numFmtId="167" fontId="13" fillId="0" borderId="8" xfId="1" applyNumberFormat="1" applyFont="1" applyFill="1" applyBorder="1" applyAlignment="1">
      <alignment horizontal="center" vertical="center" wrapText="1"/>
    </xf>
    <xf numFmtId="167" fontId="13" fillId="0" borderId="9" xfId="1" applyNumberFormat="1" applyFont="1" applyFill="1" applyBorder="1" applyAlignment="1">
      <alignment horizontal="center" vertical="center" wrapText="1"/>
    </xf>
    <xf numFmtId="166" fontId="13" fillId="0" borderId="9" xfId="1" applyNumberFormat="1" applyFont="1" applyFill="1" applyBorder="1" applyAlignment="1">
      <alignment horizontal="center" vertical="center" wrapText="1"/>
    </xf>
    <xf numFmtId="167" fontId="13" fillId="0" borderId="9" xfId="1" applyNumberFormat="1" applyFont="1" applyFill="1" applyBorder="1" applyAlignment="1">
      <alignment vertical="center" wrapText="1"/>
    </xf>
    <xf numFmtId="3" fontId="13" fillId="0" borderId="0" xfId="0" applyNumberFormat="1" applyFont="1" applyAlignment="1">
      <alignment vertical="center"/>
    </xf>
    <xf numFmtId="166" fontId="15" fillId="0" borderId="9" xfId="6" quotePrefix="1" applyNumberFormat="1" applyFont="1" applyFill="1" applyBorder="1" applyAlignment="1">
      <alignment horizontal="center" vertical="center" wrapText="1"/>
    </xf>
    <xf numFmtId="167" fontId="15" fillId="0" borderId="9" xfId="6" applyNumberFormat="1" applyFont="1" applyFill="1" applyBorder="1" applyAlignment="1">
      <alignment horizontal="left" vertical="center" wrapText="1"/>
    </xf>
    <xf numFmtId="167" fontId="15" fillId="0" borderId="9" xfId="1" applyNumberFormat="1" applyFont="1" applyFill="1" applyBorder="1" applyAlignment="1">
      <alignment horizontal="center" vertical="center" wrapText="1"/>
    </xf>
    <xf numFmtId="167" fontId="15" fillId="0" borderId="9" xfId="1" applyNumberFormat="1" applyFont="1" applyFill="1" applyBorder="1" applyAlignment="1">
      <alignment vertical="center"/>
    </xf>
    <xf numFmtId="166" fontId="15" fillId="0" borderId="9" xfId="1" applyNumberFormat="1" applyFont="1" applyFill="1" applyBorder="1" applyAlignment="1">
      <alignment horizontal="center" vertical="center" wrapText="1"/>
    </xf>
    <xf numFmtId="167" fontId="15" fillId="0" borderId="9" xfId="6" quotePrefix="1" applyNumberFormat="1" applyFont="1" applyFill="1" applyBorder="1" applyAlignment="1">
      <alignment horizontal="center" vertical="center"/>
    </xf>
    <xf numFmtId="0" fontId="15" fillId="0" borderId="9" xfId="7" applyFont="1" applyBorder="1" applyAlignment="1">
      <alignment vertical="center" wrapText="1"/>
    </xf>
    <xf numFmtId="167" fontId="15" fillId="0" borderId="9" xfId="6" applyNumberFormat="1" applyFont="1" applyFill="1" applyBorder="1" applyAlignment="1">
      <alignment vertical="center" wrapText="1"/>
    </xf>
    <xf numFmtId="167" fontId="15" fillId="0" borderId="9" xfId="1" applyNumberFormat="1" applyFont="1" applyFill="1" applyBorder="1" applyAlignment="1">
      <alignment horizontal="right" vertical="center" wrapText="1"/>
    </xf>
    <xf numFmtId="3" fontId="15" fillId="0" borderId="9" xfId="1" applyNumberFormat="1" applyFont="1" applyFill="1" applyBorder="1" applyAlignment="1">
      <alignment horizontal="right" vertical="center" wrapText="1"/>
    </xf>
    <xf numFmtId="0" fontId="15" fillId="0" borderId="9" xfId="0" applyFont="1" applyBorder="1" applyAlignment="1" applyProtection="1">
      <alignment horizontal="left" vertical="center" wrapText="1"/>
      <protection locked="0"/>
    </xf>
    <xf numFmtId="3" fontId="15" fillId="0" borderId="9" xfId="4" applyNumberFormat="1" applyFont="1" applyBorder="1" applyAlignment="1">
      <alignment vertical="center" wrapText="1"/>
    </xf>
    <xf numFmtId="0" fontId="15" fillId="0" borderId="9" xfId="4" applyFont="1" applyBorder="1" applyAlignment="1">
      <alignment vertical="center" wrapText="1"/>
    </xf>
    <xf numFmtId="0" fontId="15" fillId="0" borderId="9" xfId="0" applyFont="1" applyBorder="1" applyAlignment="1">
      <alignment horizontal="left" vertical="center" wrapText="1"/>
    </xf>
    <xf numFmtId="167" fontId="13" fillId="0" borderId="9" xfId="1" quotePrefix="1" applyNumberFormat="1" applyFont="1" applyFill="1" applyBorder="1" applyAlignment="1">
      <alignment horizontal="center" vertical="center" wrapText="1"/>
    </xf>
    <xf numFmtId="3" fontId="13" fillId="0" borderId="9" xfId="4" applyNumberFormat="1" applyFont="1" applyBorder="1" applyAlignment="1">
      <alignment horizontal="left" vertical="center" wrapText="1"/>
    </xf>
    <xf numFmtId="167" fontId="15" fillId="0" borderId="9" xfId="1" quotePrefix="1" applyNumberFormat="1" applyFont="1" applyFill="1" applyBorder="1" applyAlignment="1">
      <alignment horizontal="center" vertical="center" wrapText="1"/>
    </xf>
    <xf numFmtId="167" fontId="15" fillId="0" borderId="9" xfId="1" applyNumberFormat="1" applyFont="1" applyFill="1" applyBorder="1" applyAlignment="1">
      <alignment horizontal="left" vertical="center" wrapText="1"/>
    </xf>
    <xf numFmtId="167" fontId="13" fillId="0" borderId="9" xfId="1" applyNumberFormat="1" applyFont="1" applyFill="1" applyBorder="1" applyAlignment="1">
      <alignment horizontal="left" vertical="center" wrapText="1"/>
    </xf>
    <xf numFmtId="167" fontId="13" fillId="0" borderId="9" xfId="1" applyNumberFormat="1" applyFont="1" applyFill="1" applyBorder="1" applyAlignment="1">
      <alignment vertical="center"/>
    </xf>
    <xf numFmtId="0" fontId="13" fillId="0" borderId="9" xfId="0" applyFont="1" applyBorder="1" applyAlignment="1">
      <alignment horizontal="center" vertical="center" wrapText="1"/>
    </xf>
    <xf numFmtId="0" fontId="13" fillId="0" borderId="9" xfId="0" applyFont="1" applyBorder="1" applyAlignment="1">
      <alignment vertical="center" wrapText="1"/>
    </xf>
    <xf numFmtId="0" fontId="13" fillId="0" borderId="14" xfId="0" applyFont="1" applyBorder="1" applyAlignment="1">
      <alignment horizontal="center" vertical="center" wrapText="1"/>
    </xf>
    <xf numFmtId="0" fontId="13" fillId="0" borderId="14" xfId="0" applyFont="1" applyBorder="1" applyAlignment="1">
      <alignment vertical="center" wrapText="1"/>
    </xf>
    <xf numFmtId="167" fontId="13" fillId="0" borderId="14" xfId="1" applyNumberFormat="1" applyFont="1" applyFill="1" applyBorder="1" applyAlignment="1">
      <alignment horizontal="center" vertical="center" wrapText="1"/>
    </xf>
    <xf numFmtId="167" fontId="13" fillId="0" borderId="14" xfId="1" applyNumberFormat="1" applyFont="1" applyFill="1" applyBorder="1" applyAlignment="1">
      <alignment vertical="center"/>
    </xf>
    <xf numFmtId="0" fontId="13" fillId="0" borderId="10" xfId="0" applyFont="1" applyBorder="1" applyAlignment="1">
      <alignment horizontal="center" vertical="center" wrapText="1"/>
    </xf>
    <xf numFmtId="0" fontId="13" fillId="0" borderId="10" xfId="0" applyFont="1" applyBorder="1" applyAlignment="1">
      <alignment vertical="center" wrapText="1"/>
    </xf>
    <xf numFmtId="167" fontId="13" fillId="0" borderId="10" xfId="1" applyNumberFormat="1" applyFont="1" applyFill="1" applyBorder="1" applyAlignment="1">
      <alignment horizontal="center" vertical="center" wrapText="1"/>
    </xf>
    <xf numFmtId="167" fontId="13" fillId="0" borderId="10" xfId="1" applyNumberFormat="1" applyFont="1" applyFill="1" applyBorder="1" applyAlignment="1">
      <alignment vertical="center"/>
    </xf>
    <xf numFmtId="166" fontId="15" fillId="0" borderId="10" xfId="1" applyNumberFormat="1" applyFont="1" applyFill="1" applyBorder="1" applyAlignment="1">
      <alignment horizontal="center" vertical="center" wrapText="1"/>
    </xf>
    <xf numFmtId="0" fontId="33" fillId="0" borderId="0" xfId="0" applyFont="1"/>
    <xf numFmtId="166" fontId="13" fillId="2" borderId="4" xfId="1" applyNumberFormat="1" applyFont="1" applyFill="1" applyBorder="1" applyAlignment="1">
      <alignment horizontal="center" vertical="center" wrapText="1"/>
    </xf>
    <xf numFmtId="166" fontId="13" fillId="0" borderId="4" xfId="1" applyNumberFormat="1" applyFont="1" applyBorder="1" applyAlignment="1">
      <alignment horizontal="center" vertical="center" wrapText="1"/>
    </xf>
    <xf numFmtId="0" fontId="16" fillId="0" borderId="1" xfId="0" applyFont="1" applyBorder="1" applyAlignment="1">
      <alignment horizontal="center" vertical="center" wrapText="1"/>
    </xf>
    <xf numFmtId="3" fontId="16" fillId="0" borderId="9" xfId="15" applyNumberFormat="1" applyFont="1" applyFill="1" applyBorder="1" applyAlignment="1">
      <alignment vertical="center" wrapText="1"/>
    </xf>
    <xf numFmtId="3" fontId="16" fillId="0" borderId="9" xfId="0" applyNumberFormat="1" applyFont="1" applyBorder="1" applyAlignment="1">
      <alignment vertical="center" wrapText="1"/>
    </xf>
    <xf numFmtId="3" fontId="16" fillId="0" borderId="10" xfId="15" applyNumberFormat="1" applyFont="1" applyFill="1" applyBorder="1" applyAlignment="1">
      <alignment vertical="center" wrapText="1"/>
    </xf>
    <xf numFmtId="3" fontId="16" fillId="0" borderId="10" xfId="0" applyNumberFormat="1" applyFont="1" applyBorder="1" applyAlignment="1">
      <alignment vertical="center" wrapText="1"/>
    </xf>
    <xf numFmtId="0" fontId="12" fillId="0" borderId="0" xfId="0" applyFont="1" applyAlignment="1">
      <alignment vertical="center"/>
    </xf>
    <xf numFmtId="0" fontId="11" fillId="0" borderId="0" xfId="0" applyFont="1" applyAlignment="1">
      <alignment vertical="center"/>
    </xf>
    <xf numFmtId="3" fontId="11" fillId="0" borderId="0" xfId="0" applyNumberFormat="1" applyFont="1" applyAlignment="1">
      <alignment vertical="center"/>
    </xf>
    <xf numFmtId="166" fontId="12" fillId="0" borderId="0" xfId="1" applyNumberFormat="1" applyFont="1" applyAlignment="1">
      <alignment horizontal="left" vertical="center"/>
    </xf>
    <xf numFmtId="0" fontId="11" fillId="0" borderId="1" xfId="0" applyFont="1" applyBorder="1" applyAlignment="1">
      <alignment horizontal="center" vertical="center" wrapText="1"/>
    </xf>
    <xf numFmtId="167" fontId="16" fillId="0" borderId="0" xfId="1" applyNumberFormat="1" applyFont="1" applyBorder="1" applyAlignment="1">
      <alignment horizontal="center" vertical="center" wrapText="1"/>
    </xf>
    <xf numFmtId="0" fontId="13" fillId="2" borderId="0" xfId="0" applyFont="1" applyFill="1" applyAlignment="1">
      <alignment vertical="center"/>
    </xf>
    <xf numFmtId="167" fontId="15" fillId="2" borderId="0" xfId="0" applyNumberFormat="1" applyFont="1" applyFill="1" applyAlignment="1">
      <alignment vertical="center"/>
    </xf>
    <xf numFmtId="0" fontId="12" fillId="0" borderId="12" xfId="0" applyFont="1" applyBorder="1" applyAlignment="1">
      <alignment horizontal="center" vertical="center" wrapText="1"/>
    </xf>
    <xf numFmtId="0" fontId="29" fillId="0" borderId="0" xfId="0" applyFont="1" applyAlignment="1">
      <alignment horizontal="center" vertical="center" wrapText="1"/>
    </xf>
    <xf numFmtId="0" fontId="15" fillId="2" borderId="0" xfId="0" applyFont="1" applyFill="1" applyAlignment="1">
      <alignment vertical="center"/>
    </xf>
    <xf numFmtId="0" fontId="13" fillId="0" borderId="2" xfId="0" applyFont="1" applyBorder="1" applyAlignment="1">
      <alignment horizontal="center" vertical="center" wrapText="1"/>
    </xf>
    <xf numFmtId="0" fontId="15" fillId="0" borderId="2" xfId="0" applyFont="1" applyBorder="1" applyAlignment="1">
      <alignment horizontal="center" vertical="center" wrapText="1"/>
    </xf>
    <xf numFmtId="3" fontId="20" fillId="0" borderId="8" xfId="0" applyNumberFormat="1" applyFont="1" applyBorder="1" applyAlignment="1">
      <alignment horizontal="right" vertical="center" wrapText="1"/>
    </xf>
    <xf numFmtId="3" fontId="20" fillId="0" borderId="9" xfId="0" applyNumberFormat="1" applyFont="1" applyBorder="1" applyAlignment="1">
      <alignment horizontal="right" vertical="center" wrapText="1"/>
    </xf>
    <xf numFmtId="0" fontId="13" fillId="0" borderId="0" xfId="0" applyFont="1" applyAlignment="1">
      <alignment horizontal="center" vertical="center"/>
    </xf>
    <xf numFmtId="0" fontId="18" fillId="0" borderId="0" xfId="0" applyFont="1" applyAlignment="1">
      <alignment horizontal="right" vertical="center"/>
    </xf>
    <xf numFmtId="43" fontId="11" fillId="0" borderId="0" xfId="1" applyFont="1"/>
    <xf numFmtId="167" fontId="11" fillId="0" borderId="0" xfId="0" applyNumberFormat="1" applyFont="1"/>
    <xf numFmtId="0" fontId="16" fillId="0" borderId="9" xfId="0" applyFont="1" applyBorder="1" applyAlignment="1">
      <alignment horizontal="center" vertical="center" wrapText="1"/>
    </xf>
    <xf numFmtId="0" fontId="16" fillId="0" borderId="9" xfId="0" applyFont="1" applyBorder="1" applyAlignment="1">
      <alignment vertical="center" wrapText="1"/>
    </xf>
    <xf numFmtId="0" fontId="15" fillId="0" borderId="9" xfId="0" applyFont="1" applyBorder="1" applyAlignment="1">
      <alignment horizontal="center" vertical="center" wrapText="1"/>
    </xf>
    <xf numFmtId="0" fontId="20" fillId="0" borderId="9" xfId="0" applyFont="1" applyBorder="1" applyAlignment="1">
      <alignment vertical="center" wrapText="1"/>
    </xf>
    <xf numFmtId="0" fontId="18" fillId="0" borderId="0" xfId="0" applyFont="1"/>
    <xf numFmtId="167" fontId="18" fillId="0" borderId="0" xfId="1" applyNumberFormat="1" applyFont="1"/>
    <xf numFmtId="0" fontId="35" fillId="0" borderId="9" xfId="0" applyFont="1" applyBorder="1" applyAlignment="1">
      <alignment horizontal="center" vertical="center" wrapText="1"/>
    </xf>
    <xf numFmtId="0" fontId="35" fillId="0" borderId="9" xfId="0" applyFont="1" applyBorder="1" applyAlignment="1">
      <alignment vertical="center" wrapText="1"/>
    </xf>
    <xf numFmtId="0" fontId="30" fillId="0" borderId="9" xfId="0" applyFont="1" applyBorder="1" applyAlignment="1">
      <alignment horizontal="center" vertical="center" wrapText="1"/>
    </xf>
    <xf numFmtId="0" fontId="30" fillId="0" borderId="9" xfId="0" applyFont="1" applyBorder="1" applyAlignment="1">
      <alignment vertical="center" wrapText="1"/>
    </xf>
    <xf numFmtId="0" fontId="20" fillId="0" borderId="9" xfId="0" applyFont="1" applyBorder="1" applyAlignment="1">
      <alignment horizontal="center" vertical="center" wrapText="1"/>
    </xf>
    <xf numFmtId="3" fontId="30" fillId="0" borderId="9" xfId="5" applyNumberFormat="1" applyFont="1" applyBorder="1" applyAlignment="1">
      <alignment vertical="center" wrapText="1"/>
    </xf>
    <xf numFmtId="0" fontId="35" fillId="0" borderId="9" xfId="0" quotePrefix="1" applyFont="1" applyBorder="1" applyAlignment="1">
      <alignment horizontal="center" vertical="center" wrapText="1"/>
    </xf>
    <xf numFmtId="0" fontId="35" fillId="0" borderId="9" xfId="0" applyFont="1" applyBorder="1" applyAlignment="1">
      <alignment horizontal="left" vertical="center" wrapText="1"/>
    </xf>
    <xf numFmtId="0" fontId="30" fillId="0" borderId="10" xfId="0" applyFont="1" applyBorder="1" applyAlignment="1">
      <alignment horizontal="center" vertical="center" wrapText="1"/>
    </xf>
    <xf numFmtId="0" fontId="30" fillId="0" borderId="10" xfId="0" applyFont="1" applyBorder="1" applyAlignment="1">
      <alignment vertical="center" wrapText="1"/>
    </xf>
    <xf numFmtId="3" fontId="20" fillId="0" borderId="9" xfId="1" applyNumberFormat="1" applyFont="1" applyFill="1" applyBorder="1" applyAlignment="1">
      <alignment horizontal="right" vertical="center" wrapText="1"/>
    </xf>
    <xf numFmtId="3" fontId="16" fillId="0" borderId="9" xfId="1" applyNumberFormat="1" applyFont="1" applyFill="1" applyBorder="1" applyAlignment="1">
      <alignment horizontal="right" vertical="center" wrapText="1"/>
    </xf>
    <xf numFmtId="0" fontId="38" fillId="0" borderId="0" xfId="0" applyFont="1" applyAlignment="1">
      <alignment vertical="center"/>
    </xf>
    <xf numFmtId="3" fontId="38" fillId="0" borderId="0" xfId="0" applyNumberFormat="1" applyFont="1" applyAlignment="1">
      <alignment vertical="center"/>
    </xf>
    <xf numFmtId="0" fontId="20" fillId="0" borderId="8" xfId="0" applyFont="1" applyBorder="1" applyAlignment="1">
      <alignment horizontal="center" vertical="center" wrapText="1"/>
    </xf>
    <xf numFmtId="0" fontId="20" fillId="0" borderId="8" xfId="0" applyFont="1" applyBorder="1" applyAlignment="1">
      <alignment vertical="center" wrapText="1"/>
    </xf>
    <xf numFmtId="166" fontId="20" fillId="0" borderId="8" xfId="1" applyNumberFormat="1" applyFont="1" applyFill="1" applyBorder="1" applyAlignment="1">
      <alignment horizontal="center" vertical="center" wrapText="1"/>
    </xf>
    <xf numFmtId="3" fontId="20" fillId="0" borderId="9" xfId="0" applyNumberFormat="1" applyFont="1" applyBorder="1" applyAlignment="1">
      <alignment vertical="center" wrapText="1"/>
    </xf>
    <xf numFmtId="166" fontId="20" fillId="0" borderId="9" xfId="1" applyNumberFormat="1" applyFont="1" applyFill="1" applyBorder="1" applyAlignment="1">
      <alignment horizontal="center" vertical="center" wrapText="1"/>
    </xf>
    <xf numFmtId="3" fontId="20" fillId="0" borderId="9" xfId="1" applyNumberFormat="1" applyFont="1" applyFill="1" applyBorder="1" applyAlignment="1">
      <alignment vertical="center" wrapText="1"/>
    </xf>
    <xf numFmtId="3" fontId="16" fillId="0" borderId="9" xfId="0" applyNumberFormat="1" applyFont="1" applyBorder="1" applyAlignment="1">
      <alignment horizontal="right" vertical="center" wrapText="1"/>
    </xf>
    <xf numFmtId="167" fontId="16" fillId="0" borderId="9" xfId="0" applyNumberFormat="1" applyFont="1" applyBorder="1" applyAlignment="1">
      <alignment horizontal="center" vertical="center" wrapText="1"/>
    </xf>
    <xf numFmtId="166" fontId="16" fillId="0" borderId="9" xfId="1" applyNumberFormat="1" applyFont="1" applyFill="1" applyBorder="1" applyAlignment="1">
      <alignment horizontal="center" vertical="center" wrapText="1"/>
    </xf>
    <xf numFmtId="0" fontId="31" fillId="0" borderId="9" xfId="0" applyFont="1" applyBorder="1" applyAlignment="1">
      <alignment horizontal="center" vertical="center" wrapText="1"/>
    </xf>
    <xf numFmtId="0" fontId="31" fillId="0" borderId="9" xfId="0" applyFont="1" applyBorder="1" applyAlignment="1">
      <alignment vertical="center" wrapText="1"/>
    </xf>
    <xf numFmtId="3" fontId="31" fillId="0" borderId="9" xfId="0" applyNumberFormat="1" applyFont="1" applyBorder="1" applyAlignment="1">
      <alignment horizontal="right" vertical="center" wrapText="1"/>
    </xf>
    <xf numFmtId="3" fontId="31" fillId="0" borderId="9" xfId="0" applyNumberFormat="1" applyFont="1" applyBorder="1" applyAlignment="1">
      <alignment vertical="center" wrapText="1"/>
    </xf>
    <xf numFmtId="3" fontId="31" fillId="0" borderId="9" xfId="1" applyNumberFormat="1" applyFont="1" applyFill="1" applyBorder="1" applyAlignment="1">
      <alignment horizontal="right" vertical="center" wrapText="1"/>
    </xf>
    <xf numFmtId="166" fontId="31" fillId="0" borderId="9" xfId="1" applyNumberFormat="1" applyFont="1" applyFill="1" applyBorder="1" applyAlignment="1">
      <alignment horizontal="center" vertical="center" wrapText="1"/>
    </xf>
    <xf numFmtId="3" fontId="40" fillId="0" borderId="0" xfId="0" applyNumberFormat="1" applyFont="1" applyAlignment="1">
      <alignment vertical="center"/>
    </xf>
    <xf numFmtId="3" fontId="14" fillId="0" borderId="0" xfId="0" applyNumberFormat="1" applyFont="1" applyAlignment="1">
      <alignment vertical="center"/>
    </xf>
    <xf numFmtId="0" fontId="14" fillId="0" borderId="0" xfId="0" applyFont="1" applyAlignment="1">
      <alignment vertical="center"/>
    </xf>
    <xf numFmtId="167" fontId="31" fillId="0" borderId="9" xfId="0" applyNumberFormat="1" applyFont="1" applyBorder="1" applyAlignment="1">
      <alignment horizontal="center" vertical="center" wrapText="1"/>
    </xf>
    <xf numFmtId="167" fontId="20" fillId="0" borderId="9" xfId="0" applyNumberFormat="1" applyFont="1" applyBorder="1" applyAlignment="1">
      <alignment horizontal="center" vertical="center" wrapText="1"/>
    </xf>
    <xf numFmtId="0" fontId="16" fillId="0" borderId="9" xfId="4" applyFont="1" applyBorder="1" applyAlignment="1">
      <alignment vertical="center" wrapText="1"/>
    </xf>
    <xf numFmtId="3" fontId="16" fillId="0" borderId="9" xfId="5" applyNumberFormat="1" applyFont="1" applyBorder="1" applyAlignment="1">
      <alignment vertical="center" wrapText="1"/>
    </xf>
    <xf numFmtId="3" fontId="16" fillId="0" borderId="9" xfId="4" applyNumberFormat="1" applyFont="1" applyBorder="1" applyAlignment="1">
      <alignment vertical="center" wrapText="1"/>
    </xf>
    <xf numFmtId="0" fontId="16" fillId="0" borderId="9" xfId="8" applyFont="1" applyBorder="1" applyAlignment="1">
      <alignment vertical="center" wrapText="1"/>
    </xf>
    <xf numFmtId="0" fontId="20" fillId="0" borderId="10" xfId="0" applyFont="1" applyBorder="1" applyAlignment="1">
      <alignment horizontal="center" vertical="center" wrapText="1"/>
    </xf>
    <xf numFmtId="0" fontId="20" fillId="0" borderId="10" xfId="0" applyFont="1" applyBorder="1" applyAlignment="1">
      <alignment vertical="center" wrapText="1"/>
    </xf>
    <xf numFmtId="3" fontId="20" fillId="0" borderId="10" xfId="0" applyNumberFormat="1" applyFont="1" applyBorder="1" applyAlignment="1">
      <alignment horizontal="right" vertical="center" wrapText="1"/>
    </xf>
    <xf numFmtId="166" fontId="20" fillId="0" borderId="10" xfId="1" applyNumberFormat="1" applyFont="1" applyFill="1" applyBorder="1" applyAlignment="1">
      <alignment horizontal="center" vertical="center" wrapText="1"/>
    </xf>
    <xf numFmtId="0" fontId="28" fillId="0" borderId="0" xfId="0" applyFont="1" applyAlignment="1">
      <alignment vertical="center"/>
    </xf>
    <xf numFmtId="167" fontId="11" fillId="0" borderId="0" xfId="1" applyNumberFormat="1" applyFont="1" applyAlignment="1">
      <alignment vertical="center"/>
    </xf>
    <xf numFmtId="167" fontId="11" fillId="0" borderId="0" xfId="0" applyNumberFormat="1" applyFont="1" applyAlignment="1">
      <alignment vertical="center"/>
    </xf>
    <xf numFmtId="0" fontId="42" fillId="0" borderId="0" xfId="0" applyFont="1" applyAlignment="1">
      <alignment horizontal="center" vertical="center"/>
    </xf>
    <xf numFmtId="0" fontId="34" fillId="0" borderId="0" xfId="0" applyFont="1" applyAlignment="1">
      <alignment vertical="center"/>
    </xf>
    <xf numFmtId="0" fontId="42" fillId="0" borderId="0" xfId="0" applyFont="1" applyAlignment="1">
      <alignment vertical="center"/>
    </xf>
    <xf numFmtId="0" fontId="37" fillId="0" borderId="0" xfId="0" applyFont="1" applyAlignment="1">
      <alignment horizontal="center" vertical="center"/>
    </xf>
    <xf numFmtId="0" fontId="43" fillId="0" borderId="0" xfId="0" applyFont="1" applyAlignment="1">
      <alignment vertical="center"/>
    </xf>
    <xf numFmtId="0" fontId="30" fillId="0" borderId="1" xfId="0" applyFont="1" applyBorder="1" applyAlignment="1">
      <alignment horizontal="center" vertical="center" wrapText="1"/>
    </xf>
    <xf numFmtId="3" fontId="34" fillId="0" borderId="0" xfId="0" applyNumberFormat="1" applyFont="1" applyAlignment="1">
      <alignment vertical="center"/>
    </xf>
    <xf numFmtId="0" fontId="45" fillId="0" borderId="0" xfId="0" applyFont="1" applyAlignment="1">
      <alignment vertical="center"/>
    </xf>
    <xf numFmtId="0" fontId="30" fillId="0" borderId="1" xfId="0" quotePrefix="1" applyFont="1" applyBorder="1" applyAlignment="1">
      <alignment horizontal="center" vertical="center" wrapText="1"/>
    </xf>
    <xf numFmtId="3" fontId="45" fillId="0" borderId="0" xfId="0" applyNumberFormat="1" applyFont="1" applyAlignment="1">
      <alignment vertical="center"/>
    </xf>
    <xf numFmtId="0" fontId="30" fillId="0" borderId="8" xfId="0" applyFont="1" applyBorder="1" applyAlignment="1">
      <alignment horizontal="center" vertical="center" wrapText="1"/>
    </xf>
    <xf numFmtId="0" fontId="30" fillId="0" borderId="8" xfId="0" applyFont="1" applyBorder="1" applyAlignment="1">
      <alignment vertical="center" wrapText="1"/>
    </xf>
    <xf numFmtId="3" fontId="30" fillId="0" borderId="8" xfId="0" applyNumberFormat="1" applyFont="1" applyBorder="1" applyAlignment="1">
      <alignment vertical="center" wrapText="1"/>
    </xf>
    <xf numFmtId="166" fontId="30" fillId="0" borderId="8" xfId="1" applyNumberFormat="1" applyFont="1" applyFill="1" applyBorder="1" applyAlignment="1">
      <alignment vertical="center" wrapText="1"/>
    </xf>
    <xf numFmtId="3" fontId="30" fillId="0" borderId="9" xfId="0" applyNumberFormat="1" applyFont="1" applyBorder="1" applyAlignment="1">
      <alignment vertical="center" wrapText="1"/>
    </xf>
    <xf numFmtId="166" fontId="30" fillId="0" borderId="9" xfId="1" applyNumberFormat="1" applyFont="1" applyFill="1" applyBorder="1" applyAlignment="1">
      <alignment vertical="center" wrapText="1"/>
    </xf>
    <xf numFmtId="3" fontId="35" fillId="0" borderId="9" xfId="0" applyNumberFormat="1" applyFont="1" applyBorder="1" applyAlignment="1">
      <alignment vertical="center" wrapText="1"/>
    </xf>
    <xf numFmtId="166" fontId="35" fillId="0" borderId="9" xfId="1" applyNumberFormat="1" applyFont="1" applyFill="1" applyBorder="1" applyAlignment="1">
      <alignment vertical="center" wrapText="1"/>
    </xf>
    <xf numFmtId="167" fontId="35" fillId="0" borderId="9" xfId="1" applyNumberFormat="1" applyFont="1" applyFill="1" applyBorder="1" applyAlignment="1">
      <alignment vertical="center" wrapText="1"/>
    </xf>
    <xf numFmtId="0" fontId="46" fillId="0" borderId="0" xfId="0" applyFont="1" applyAlignment="1">
      <alignment vertical="center"/>
    </xf>
    <xf numFmtId="0" fontId="10" fillId="0" borderId="0" xfId="0" applyFont="1" applyAlignment="1">
      <alignment vertical="center" wrapText="1"/>
    </xf>
    <xf numFmtId="3" fontId="30" fillId="0" borderId="10" xfId="0" applyNumberFormat="1" applyFont="1" applyBorder="1" applyAlignment="1">
      <alignment vertical="center" wrapText="1"/>
    </xf>
    <xf numFmtId="166" fontId="30" fillId="0" borderId="10" xfId="1" applyNumberFormat="1" applyFont="1" applyFill="1" applyBorder="1" applyAlignment="1">
      <alignment vertical="center" wrapText="1"/>
    </xf>
    <xf numFmtId="0" fontId="34" fillId="0" borderId="0" xfId="0" applyFont="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166" fontId="13" fillId="0" borderId="8" xfId="1" applyNumberFormat="1" applyFont="1" applyFill="1" applyBorder="1" applyAlignment="1">
      <alignment horizontal="center" vertical="center" wrapText="1"/>
    </xf>
    <xf numFmtId="166" fontId="13" fillId="0" borderId="10" xfId="1" applyNumberFormat="1" applyFont="1" applyFill="1" applyBorder="1" applyAlignment="1">
      <alignment horizontal="center" vertical="center" wrapText="1"/>
    </xf>
    <xf numFmtId="167" fontId="48" fillId="0" borderId="0" xfId="0" applyNumberFormat="1" applyFont="1" applyAlignment="1">
      <alignment horizontal="center" vertical="center" wrapText="1"/>
    </xf>
    <xf numFmtId="171" fontId="13" fillId="0" borderId="0" xfId="0" applyNumberFormat="1" applyFont="1"/>
    <xf numFmtId="167" fontId="27" fillId="0" borderId="0" xfId="0" applyNumberFormat="1" applyFont="1"/>
    <xf numFmtId="167" fontId="49" fillId="0" borderId="0" xfId="0" applyNumberFormat="1" applyFont="1"/>
    <xf numFmtId="167" fontId="23" fillId="0" borderId="0" xfId="0" applyNumberFormat="1" applyFont="1"/>
    <xf numFmtId="0" fontId="13" fillId="0" borderId="0" xfId="0" applyFont="1" applyAlignment="1">
      <alignment vertical="center" wrapText="1"/>
    </xf>
    <xf numFmtId="3" fontId="15" fillId="2" borderId="9" xfId="4" applyNumberFormat="1" applyFont="1" applyFill="1" applyBorder="1" applyAlignment="1">
      <alignment vertical="center" wrapText="1"/>
    </xf>
    <xf numFmtId="0" fontId="15" fillId="2" borderId="9" xfId="4" applyFont="1" applyFill="1" applyBorder="1" applyAlignment="1">
      <alignment vertical="center" wrapText="1"/>
    </xf>
    <xf numFmtId="167" fontId="51" fillId="2" borderId="9" xfId="1" applyNumberFormat="1" applyFont="1" applyFill="1" applyBorder="1" applyAlignment="1">
      <alignment horizontal="center" vertical="center" wrapText="1"/>
    </xf>
    <xf numFmtId="0" fontId="15" fillId="2" borderId="9" xfId="0" applyFont="1" applyFill="1" applyBorder="1" applyAlignment="1" applyProtection="1">
      <alignment horizontal="left" vertical="center" wrapText="1"/>
      <protection locked="0"/>
    </xf>
    <xf numFmtId="0" fontId="53" fillId="0" borderId="0" xfId="0" applyFont="1"/>
    <xf numFmtId="167" fontId="12" fillId="0" borderId="0" xfId="1" applyNumberFormat="1" applyFont="1" applyAlignment="1"/>
    <xf numFmtId="0" fontId="7" fillId="2" borderId="9" xfId="0" applyFont="1" applyFill="1" applyBorder="1" applyAlignment="1">
      <alignment vertical="center" wrapText="1"/>
    </xf>
    <xf numFmtId="3" fontId="13" fillId="0" borderId="9" xfId="0" applyNumberFormat="1" applyFont="1" applyBorder="1" applyAlignment="1">
      <alignment vertical="center" wrapText="1"/>
    </xf>
    <xf numFmtId="167" fontId="15" fillId="3" borderId="9" xfId="6" quotePrefix="1" applyNumberFormat="1" applyFont="1" applyFill="1" applyBorder="1" applyAlignment="1">
      <alignment horizontal="center" vertical="center"/>
    </xf>
    <xf numFmtId="167" fontId="15" fillId="3" borderId="9" xfId="6" applyNumberFormat="1" applyFont="1" applyFill="1" applyBorder="1" applyAlignment="1">
      <alignment vertical="center" wrapText="1"/>
    </xf>
    <xf numFmtId="167" fontId="15" fillId="3" borderId="9" xfId="1" applyNumberFormat="1" applyFont="1" applyFill="1" applyBorder="1" applyAlignment="1">
      <alignment horizontal="center" vertical="center" wrapText="1"/>
    </xf>
    <xf numFmtId="166" fontId="15" fillId="3" borderId="9" xfId="1" applyNumberFormat="1" applyFont="1" applyFill="1" applyBorder="1" applyAlignment="1">
      <alignment horizontal="center" vertical="center" wrapText="1"/>
    </xf>
    <xf numFmtId="0" fontId="15" fillId="3" borderId="0" xfId="0" applyFont="1" applyFill="1" applyAlignment="1">
      <alignment vertical="center"/>
    </xf>
    <xf numFmtId="167" fontId="15" fillId="3" borderId="9" xfId="1" applyNumberFormat="1" applyFont="1" applyFill="1" applyBorder="1" applyAlignment="1">
      <alignment vertical="center"/>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9" xfId="0" applyFont="1" applyFill="1" applyBorder="1" applyAlignment="1">
      <alignment vertical="center" wrapText="1"/>
    </xf>
    <xf numFmtId="3" fontId="13" fillId="0" borderId="8" xfId="0" applyNumberFormat="1" applyFont="1" applyBorder="1" applyAlignment="1">
      <alignment horizontal="right" vertical="center" wrapText="1"/>
    </xf>
    <xf numFmtId="3" fontId="13" fillId="0" borderId="9" xfId="0" applyNumberFormat="1" applyFont="1" applyBorder="1" applyAlignment="1">
      <alignment horizontal="right" vertical="center" wrapText="1"/>
    </xf>
    <xf numFmtId="3" fontId="13" fillId="0" borderId="9" xfId="1" applyNumberFormat="1" applyFont="1" applyFill="1" applyBorder="1" applyAlignment="1">
      <alignment vertical="center" wrapText="1"/>
    </xf>
    <xf numFmtId="3" fontId="15" fillId="0" borderId="9" xfId="0" applyNumberFormat="1" applyFont="1" applyBorder="1" applyAlignment="1">
      <alignment horizontal="right" vertical="center" wrapText="1"/>
    </xf>
    <xf numFmtId="3" fontId="15" fillId="0" borderId="9" xfId="0" applyNumberFormat="1" applyFont="1" applyBorder="1" applyAlignment="1">
      <alignment vertical="center" wrapText="1"/>
    </xf>
    <xf numFmtId="167" fontId="15" fillId="0" borderId="9" xfId="0" applyNumberFormat="1" applyFont="1" applyBorder="1" applyAlignment="1">
      <alignment horizontal="center" vertical="center" wrapText="1"/>
    </xf>
    <xf numFmtId="0" fontId="18" fillId="0" borderId="9" xfId="0" applyFont="1" applyBorder="1" applyAlignment="1">
      <alignment horizontal="center" vertical="center" wrapText="1"/>
    </xf>
    <xf numFmtId="0" fontId="18" fillId="0" borderId="9" xfId="0" applyFont="1" applyBorder="1" applyAlignment="1">
      <alignment vertical="center" wrapText="1"/>
    </xf>
    <xf numFmtId="3" fontId="18" fillId="0" borderId="9" xfId="0" applyNumberFormat="1" applyFont="1" applyBorder="1" applyAlignment="1">
      <alignment horizontal="right" vertical="center" wrapText="1"/>
    </xf>
    <xf numFmtId="3" fontId="18" fillId="0" borderId="9" xfId="0" applyNumberFormat="1" applyFont="1" applyBorder="1" applyAlignment="1">
      <alignment vertical="center" wrapText="1"/>
    </xf>
    <xf numFmtId="3" fontId="18" fillId="0" borderId="9" xfId="1" applyNumberFormat="1" applyFont="1" applyFill="1" applyBorder="1" applyAlignment="1">
      <alignment horizontal="right" vertical="center" wrapText="1"/>
    </xf>
    <xf numFmtId="166" fontId="18" fillId="0" borderId="9" xfId="1" applyNumberFormat="1" applyFont="1" applyFill="1" applyBorder="1" applyAlignment="1">
      <alignment horizontal="center" vertical="center" wrapText="1"/>
    </xf>
    <xf numFmtId="167" fontId="18" fillId="0" borderId="9" xfId="0" applyNumberFormat="1" applyFont="1" applyBorder="1" applyAlignment="1">
      <alignment horizontal="center" vertical="center" wrapText="1"/>
    </xf>
    <xf numFmtId="167" fontId="13" fillId="0" borderId="9" xfId="0" applyNumberFormat="1" applyFont="1" applyBorder="1" applyAlignment="1">
      <alignment horizontal="center" vertical="center" wrapText="1"/>
    </xf>
    <xf numFmtId="3" fontId="13" fillId="0" borderId="9" xfId="1" applyNumberFormat="1" applyFont="1" applyFill="1" applyBorder="1" applyAlignment="1">
      <alignment horizontal="right" vertical="center" wrapText="1"/>
    </xf>
    <xf numFmtId="3" fontId="13" fillId="0" borderId="10" xfId="0" applyNumberFormat="1" applyFont="1" applyBorder="1" applyAlignment="1">
      <alignment horizontal="right" vertical="center" wrapText="1"/>
    </xf>
    <xf numFmtId="3" fontId="15" fillId="0" borderId="0" xfId="0" applyNumberFormat="1" applyFont="1" applyAlignment="1">
      <alignment vertical="center"/>
    </xf>
    <xf numFmtId="0" fontId="11" fillId="0" borderId="3" xfId="0" applyFont="1" applyBorder="1" applyAlignment="1">
      <alignment horizontal="center" vertical="center" wrapText="1"/>
    </xf>
    <xf numFmtId="0" fontId="16" fillId="0" borderId="0" xfId="0" applyFont="1"/>
    <xf numFmtId="167" fontId="13" fillId="0" borderId="8" xfId="1" applyNumberFormat="1" applyFont="1" applyBorder="1" applyAlignment="1">
      <alignment horizontal="right" vertical="center" wrapText="1"/>
    </xf>
    <xf numFmtId="167" fontId="15" fillId="0" borderId="9" xfId="1" applyNumberFormat="1" applyFont="1" applyBorder="1" applyAlignment="1">
      <alignment horizontal="right" vertical="center" wrapText="1"/>
    </xf>
    <xf numFmtId="167" fontId="15" fillId="2" borderId="9" xfId="1" applyNumberFormat="1" applyFont="1" applyFill="1" applyBorder="1" applyAlignment="1">
      <alignment horizontal="right" vertical="center" wrapText="1"/>
    </xf>
    <xf numFmtId="167" fontId="13" fillId="0" borderId="9" xfId="1" applyNumberFormat="1" applyFont="1" applyBorder="1" applyAlignment="1">
      <alignment horizontal="right" vertical="center" wrapText="1"/>
    </xf>
    <xf numFmtId="167" fontId="13" fillId="2" borderId="9" xfId="1" applyNumberFormat="1" applyFont="1" applyFill="1" applyBorder="1" applyAlignment="1">
      <alignment horizontal="right" vertical="center" wrapText="1"/>
    </xf>
    <xf numFmtId="167" fontId="13" fillId="0" borderId="9" xfId="1" applyNumberFormat="1" applyFont="1" applyFill="1" applyBorder="1" applyAlignment="1">
      <alignment horizontal="right" vertical="center" wrapText="1"/>
    </xf>
    <xf numFmtId="167" fontId="13" fillId="0" borderId="10" xfId="1" applyNumberFormat="1" applyFont="1" applyFill="1" applyBorder="1" applyAlignment="1">
      <alignment horizontal="right" vertical="center" wrapText="1"/>
    </xf>
    <xf numFmtId="166" fontId="13" fillId="0" borderId="8" xfId="1" applyNumberFormat="1" applyFont="1" applyBorder="1" applyAlignment="1">
      <alignment horizontal="right" vertical="center" wrapText="1"/>
    </xf>
    <xf numFmtId="166" fontId="15" fillId="0" borderId="9" xfId="1" applyNumberFormat="1" applyFont="1" applyBorder="1" applyAlignment="1">
      <alignment horizontal="right" vertical="center" wrapText="1"/>
    </xf>
    <xf numFmtId="166" fontId="13" fillId="0" borderId="9" xfId="1" applyNumberFormat="1" applyFont="1" applyBorder="1" applyAlignment="1">
      <alignment horizontal="right" vertical="center" wrapText="1"/>
    </xf>
    <xf numFmtId="166" fontId="13" fillId="0" borderId="10" xfId="1" applyNumberFormat="1" applyFont="1" applyBorder="1" applyAlignment="1">
      <alignment horizontal="right" vertical="center" wrapText="1"/>
    </xf>
    <xf numFmtId="0" fontId="31" fillId="0" borderId="0" xfId="0" applyFont="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vertical="center" wrapText="1"/>
    </xf>
    <xf numFmtId="3" fontId="6" fillId="0" borderId="15" xfId="0" applyNumberFormat="1" applyFont="1" applyBorder="1" applyAlignment="1">
      <alignment horizontal="right" vertical="center" wrapText="1"/>
    </xf>
    <xf numFmtId="3" fontId="13" fillId="2" borderId="15" xfId="1" applyNumberFormat="1" applyFont="1" applyFill="1" applyBorder="1" applyAlignment="1">
      <alignment horizontal="right" vertical="center" wrapText="1"/>
    </xf>
    <xf numFmtId="3" fontId="6" fillId="0" borderId="15" xfId="13" applyNumberFormat="1" applyFont="1" applyBorder="1" applyAlignment="1">
      <alignment horizontal="right" vertical="center" wrapText="1"/>
    </xf>
    <xf numFmtId="0" fontId="6" fillId="0" borderId="9" xfId="0" applyFont="1" applyBorder="1" applyAlignment="1">
      <alignment horizontal="center" vertical="center" wrapText="1"/>
    </xf>
    <xf numFmtId="0" fontId="6" fillId="0" borderId="9" xfId="0" applyFont="1" applyBorder="1" applyAlignment="1">
      <alignment vertical="center" wrapText="1"/>
    </xf>
    <xf numFmtId="3" fontId="6" fillId="0" borderId="9" xfId="0" applyNumberFormat="1" applyFont="1" applyBorder="1" applyAlignment="1">
      <alignment horizontal="right" vertical="center" wrapText="1"/>
    </xf>
    <xf numFmtId="3" fontId="6" fillId="0" borderId="9" xfId="13" applyNumberFormat="1" applyFont="1" applyBorder="1" applyAlignment="1">
      <alignment horizontal="right" vertical="center" wrapText="1"/>
    </xf>
    <xf numFmtId="0" fontId="8" fillId="0" borderId="9" xfId="0" applyFont="1" applyBorder="1" applyAlignment="1">
      <alignment horizontal="center" vertical="center" wrapText="1"/>
    </xf>
    <xf numFmtId="0" fontId="8" fillId="0" borderId="9" xfId="0" applyFont="1" applyBorder="1" applyAlignment="1">
      <alignment vertical="center" wrapText="1"/>
    </xf>
    <xf numFmtId="3" fontId="8" fillId="0" borderId="9" xfId="0" applyNumberFormat="1" applyFont="1" applyBorder="1" applyAlignment="1">
      <alignment horizontal="right" vertical="center" wrapText="1"/>
    </xf>
    <xf numFmtId="3" fontId="8" fillId="0" borderId="9" xfId="13" applyNumberFormat="1" applyFont="1" applyBorder="1" applyAlignment="1">
      <alignment horizontal="right" vertical="center" wrapText="1"/>
    </xf>
    <xf numFmtId="0" fontId="8" fillId="0" borderId="9" xfId="0" quotePrefix="1"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3" fontId="7" fillId="0" borderId="9" xfId="0" applyNumberFormat="1" applyFont="1" applyBorder="1" applyAlignment="1">
      <alignment horizontal="right" vertical="center" wrapText="1"/>
    </xf>
    <xf numFmtId="3" fontId="7" fillId="0" borderId="9" xfId="13" applyNumberFormat="1" applyFont="1" applyBorder="1" applyAlignment="1">
      <alignment horizontal="right" vertical="center" wrapText="1"/>
    </xf>
    <xf numFmtId="3" fontId="6" fillId="0" borderId="9" xfId="0" applyNumberFormat="1" applyFont="1" applyBorder="1" applyAlignment="1">
      <alignment vertical="center" wrapText="1"/>
    </xf>
    <xf numFmtId="0" fontId="7" fillId="0" borderId="9" xfId="0" quotePrefix="1" applyFont="1" applyBorder="1" applyAlignment="1">
      <alignment horizontal="center" vertical="center" wrapText="1"/>
    </xf>
    <xf numFmtId="0" fontId="6" fillId="0" borderId="9"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vertical="center" wrapText="1"/>
    </xf>
    <xf numFmtId="3" fontId="6" fillId="0" borderId="10" xfId="0" applyNumberFormat="1" applyFont="1" applyBorder="1" applyAlignment="1">
      <alignment horizontal="right" vertical="center" wrapText="1"/>
    </xf>
    <xf numFmtId="3" fontId="6" fillId="0" borderId="10" xfId="13" applyNumberFormat="1" applyFont="1" applyBorder="1" applyAlignment="1">
      <alignment horizontal="right" vertical="center" wrapText="1"/>
    </xf>
    <xf numFmtId="0" fontId="13" fillId="2" borderId="9" xfId="0" applyFont="1" applyFill="1" applyBorder="1" applyAlignment="1">
      <alignment horizontal="center" vertical="center" wrapText="1"/>
    </xf>
    <xf numFmtId="0" fontId="13" fillId="2" borderId="9" xfId="0" applyFont="1" applyFill="1" applyBorder="1" applyAlignment="1">
      <alignment vertical="center" wrapText="1"/>
    </xf>
    <xf numFmtId="3" fontId="13" fillId="2" borderId="9" xfId="0" applyNumberFormat="1" applyFont="1" applyFill="1" applyBorder="1" applyAlignment="1">
      <alignment horizontal="right" vertical="center" wrapText="1"/>
    </xf>
    <xf numFmtId="166" fontId="13" fillId="2" borderId="9" xfId="1" applyNumberFormat="1" applyFont="1" applyFill="1" applyBorder="1" applyAlignment="1">
      <alignment horizontal="center" vertical="center" wrapText="1"/>
    </xf>
    <xf numFmtId="3" fontId="15" fillId="2" borderId="9" xfId="0" applyNumberFormat="1" applyFont="1" applyFill="1" applyBorder="1" applyAlignment="1">
      <alignment horizontal="right" vertical="center" wrapText="1"/>
    </xf>
    <xf numFmtId="166" fontId="15" fillId="2" borderId="9" xfId="1" applyNumberFormat="1" applyFont="1" applyFill="1" applyBorder="1" applyAlignment="1">
      <alignment horizontal="center" vertical="center" wrapText="1"/>
    </xf>
    <xf numFmtId="0" fontId="15" fillId="2" borderId="9" xfId="8" applyFont="1" applyFill="1" applyBorder="1" applyAlignment="1">
      <alignment vertical="center" wrapText="1"/>
    </xf>
    <xf numFmtId="3" fontId="13" fillId="0" borderId="8" xfId="0" applyNumberFormat="1" applyFont="1" applyBorder="1" applyAlignment="1">
      <alignment vertical="center" wrapText="1"/>
    </xf>
    <xf numFmtId="167" fontId="15" fillId="0" borderId="9" xfId="1" applyNumberFormat="1" applyFont="1" applyFill="1" applyBorder="1" applyAlignment="1">
      <alignment vertical="center" wrapText="1"/>
    </xf>
    <xf numFmtId="3" fontId="13" fillId="0" borderId="10" xfId="0" applyNumberFormat="1" applyFont="1" applyBorder="1" applyAlignment="1">
      <alignment vertical="center" wrapText="1"/>
    </xf>
    <xf numFmtId="0" fontId="15" fillId="0" borderId="9" xfId="0" applyFont="1" applyBorder="1"/>
    <xf numFmtId="166" fontId="13" fillId="0" borderId="8" xfId="1" applyNumberFormat="1" applyFont="1" applyFill="1" applyBorder="1" applyAlignment="1">
      <alignment horizontal="right" vertical="center" wrapText="1"/>
    </xf>
    <xf numFmtId="166" fontId="13" fillId="0" borderId="9" xfId="1" applyNumberFormat="1" applyFont="1" applyFill="1" applyBorder="1" applyAlignment="1">
      <alignment horizontal="right" vertical="center" wrapText="1"/>
    </xf>
    <xf numFmtId="166" fontId="13" fillId="2" borderId="9" xfId="1" applyNumberFormat="1" applyFont="1" applyFill="1" applyBorder="1" applyAlignment="1">
      <alignment horizontal="right" vertical="center" wrapText="1"/>
    </xf>
    <xf numFmtId="166" fontId="15" fillId="2" borderId="9" xfId="1" applyNumberFormat="1" applyFont="1" applyFill="1" applyBorder="1" applyAlignment="1">
      <alignment horizontal="right" vertical="center" wrapText="1"/>
    </xf>
    <xf numFmtId="166" fontId="15" fillId="0" borderId="9" xfId="1" applyNumberFormat="1" applyFont="1" applyFill="1" applyBorder="1" applyAlignment="1">
      <alignment horizontal="right" vertical="center" wrapText="1"/>
    </xf>
    <xf numFmtId="0" fontId="15" fillId="0" borderId="10" xfId="0" applyFont="1" applyBorder="1"/>
    <xf numFmtId="167" fontId="15" fillId="0" borderId="10" xfId="1" applyNumberFormat="1" applyFont="1" applyFill="1" applyBorder="1" applyAlignment="1">
      <alignment horizontal="center" vertical="center" wrapText="1"/>
    </xf>
    <xf numFmtId="167" fontId="15" fillId="0" borderId="9" xfId="1" quotePrefix="1" applyNumberFormat="1" applyFont="1" applyFill="1" applyBorder="1" applyAlignment="1">
      <alignment horizontal="left" vertical="center" wrapText="1"/>
    </xf>
    <xf numFmtId="0" fontId="12" fillId="0" borderId="0" xfId="0" applyFont="1" applyAlignment="1">
      <alignment horizontal="right"/>
    </xf>
    <xf numFmtId="0" fontId="16" fillId="0" borderId="0" xfId="0" applyFont="1" applyAlignment="1">
      <alignment vertical="center"/>
    </xf>
    <xf numFmtId="3" fontId="11" fillId="0" borderId="0" xfId="0" applyNumberFormat="1" applyFont="1"/>
    <xf numFmtId="0" fontId="16" fillId="0" borderId="15" xfId="0" applyFont="1" applyBorder="1" applyAlignment="1">
      <alignment horizontal="center" vertical="center" wrapText="1"/>
    </xf>
    <xf numFmtId="0" fontId="20" fillId="0" borderId="15" xfId="0" applyFont="1" applyBorder="1" applyAlignment="1">
      <alignment horizontal="center" vertical="center" wrapText="1"/>
    </xf>
    <xf numFmtId="3" fontId="20" fillId="0" borderId="5" xfId="0" applyNumberFormat="1" applyFont="1" applyBorder="1" applyAlignment="1">
      <alignment horizontal="right" vertical="center" wrapText="1"/>
    </xf>
    <xf numFmtId="9" fontId="20" fillId="0" borderId="5" xfId="19" applyFont="1" applyFill="1" applyBorder="1" applyAlignment="1">
      <alignment horizontal="right" vertical="center" wrapText="1"/>
    </xf>
    <xf numFmtId="3" fontId="16" fillId="0" borderId="9" xfId="15" applyNumberFormat="1" applyFont="1" applyFill="1" applyBorder="1" applyAlignment="1">
      <alignment horizontal="right" vertical="center" wrapText="1"/>
    </xf>
    <xf numFmtId="3" fontId="16" fillId="0" borderId="5" xfId="0" applyNumberFormat="1" applyFont="1" applyBorder="1" applyAlignment="1">
      <alignment vertical="center" wrapText="1"/>
    </xf>
    <xf numFmtId="9" fontId="16" fillId="0" borderId="5" xfId="19" applyFont="1" applyFill="1" applyBorder="1" applyAlignment="1">
      <alignment horizontal="right" vertical="center" wrapText="1"/>
    </xf>
    <xf numFmtId="0" fontId="20" fillId="0" borderId="14" xfId="0" applyFont="1" applyBorder="1" applyAlignment="1">
      <alignment vertical="center" wrapText="1"/>
    </xf>
    <xf numFmtId="169" fontId="20" fillId="0" borderId="5" xfId="15" applyNumberFormat="1" applyFont="1" applyFill="1" applyBorder="1" applyAlignment="1">
      <alignment horizontal="right" vertical="center" wrapText="1"/>
    </xf>
    <xf numFmtId="3" fontId="16" fillId="0" borderId="14" xfId="0" applyNumberFormat="1" applyFont="1" applyBorder="1" applyAlignment="1">
      <alignment vertical="center" wrapText="1"/>
    </xf>
    <xf numFmtId="0" fontId="16" fillId="0" borderId="10" xfId="0" applyFont="1" applyBorder="1" applyAlignment="1">
      <alignment horizontal="center" vertical="center" wrapText="1"/>
    </xf>
    <xf numFmtId="0" fontId="16" fillId="0" borderId="16" xfId="0" applyFont="1" applyBorder="1" applyAlignment="1">
      <alignment vertical="center" wrapText="1"/>
    </xf>
    <xf numFmtId="9" fontId="16" fillId="0" borderId="17" xfId="19" applyFont="1" applyFill="1" applyBorder="1" applyAlignment="1">
      <alignment horizontal="right" vertical="center" wrapText="1"/>
    </xf>
    <xf numFmtId="9" fontId="16" fillId="0" borderId="18" xfId="19" applyFont="1" applyFill="1" applyBorder="1" applyAlignment="1">
      <alignment horizontal="right"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6" fillId="2" borderId="1" xfId="0" applyFont="1" applyFill="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xf>
    <xf numFmtId="0" fontId="14" fillId="0" borderId="7" xfId="0" applyFont="1" applyBorder="1" applyAlignment="1">
      <alignment horizontal="right"/>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20" fillId="0" borderId="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3" xfId="0" applyFont="1" applyBorder="1" applyAlignment="1">
      <alignment horizontal="center" vertical="center" wrapText="1"/>
    </xf>
    <xf numFmtId="0" fontId="12" fillId="0" borderId="0" xfId="0" applyFont="1" applyAlignment="1">
      <alignment horizontal="center"/>
    </xf>
    <xf numFmtId="0" fontId="24" fillId="0" borderId="1" xfId="0" applyFont="1" applyBorder="1" applyAlignment="1">
      <alignment horizontal="center" vertical="center" wrapText="1"/>
    </xf>
    <xf numFmtId="0" fontId="29" fillId="0" borderId="0" xfId="0" applyFont="1" applyAlignment="1">
      <alignment horizontal="center" vertical="center" wrapText="1"/>
    </xf>
    <xf numFmtId="0" fontId="31" fillId="0" borderId="7" xfId="0" applyFont="1" applyBorder="1" applyAlignment="1">
      <alignment horizontal="right"/>
    </xf>
    <xf numFmtId="0" fontId="18" fillId="0" borderId="7" xfId="0" applyFont="1" applyBorder="1" applyAlignment="1">
      <alignment horizontal="right" vertical="center"/>
    </xf>
    <xf numFmtId="0" fontId="13"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xf>
    <xf numFmtId="0" fontId="41" fillId="0" borderId="0" xfId="0" applyFont="1" applyAlignment="1">
      <alignment horizontal="left" vertical="center" wrapText="1"/>
    </xf>
    <xf numFmtId="0" fontId="39" fillId="0" borderId="7" xfId="0" applyFont="1" applyBorder="1" applyAlignment="1">
      <alignment horizontal="right"/>
    </xf>
    <xf numFmtId="0" fontId="47" fillId="0" borderId="0" xfId="0" applyFont="1" applyAlignment="1">
      <alignment vertical="center" wrapText="1"/>
    </xf>
    <xf numFmtId="0" fontId="36" fillId="0" borderId="0" xfId="0" applyFont="1" applyAlignment="1">
      <alignment vertical="center" wrapText="1"/>
    </xf>
    <xf numFmtId="0" fontId="30" fillId="0" borderId="0" xfId="0" applyFont="1" applyAlignment="1">
      <alignment horizontal="center" vertical="center" wrapText="1"/>
    </xf>
    <xf numFmtId="0" fontId="44" fillId="0" borderId="7" xfId="0" applyFont="1" applyBorder="1" applyAlignment="1">
      <alignment vertical="center"/>
    </xf>
    <xf numFmtId="0" fontId="30" fillId="0" borderId="1" xfId="0" applyFont="1" applyBorder="1" applyAlignment="1">
      <alignment horizontal="center" vertical="center" wrapText="1"/>
    </xf>
    <xf numFmtId="0" fontId="31" fillId="0" borderId="0" xfId="0" applyFont="1" applyAlignment="1">
      <alignment horizontal="left" vertical="center" wrapText="1"/>
    </xf>
    <xf numFmtId="0" fontId="12" fillId="0" borderId="0" xfId="0" applyFont="1" applyAlignment="1">
      <alignment horizontal="left"/>
    </xf>
    <xf numFmtId="0" fontId="50" fillId="0" borderId="7" xfId="0" applyFont="1" applyBorder="1" applyAlignment="1">
      <alignment horizontal="right"/>
    </xf>
  </cellXfs>
  <cellStyles count="20">
    <cellStyle name="AutoFormat-Optionen" xfId="3" xr:uid="{00000000-0005-0000-0000-000000000000}"/>
    <cellStyle name="AutoFormat-Optionen 2 2" xfId="7" xr:uid="{00000000-0005-0000-0000-000001000000}"/>
    <cellStyle name="AutoFormat-Optionen 4" xfId="4" xr:uid="{00000000-0005-0000-0000-000002000000}"/>
    <cellStyle name="Comma" xfId="1" builtinId="3"/>
    <cellStyle name="Comma 10 2" xfId="11" xr:uid="{00000000-0005-0000-0000-000004000000}"/>
    <cellStyle name="Comma 10 3" xfId="6" xr:uid="{00000000-0005-0000-0000-000005000000}"/>
    <cellStyle name="Comma 10 3 2" xfId="18" xr:uid="{D8A17EA8-035E-40A3-BB9B-B0FC92123B5B}"/>
    <cellStyle name="Comma 14" xfId="9" xr:uid="{00000000-0005-0000-0000-000006000000}"/>
    <cellStyle name="Comma 2" xfId="15" xr:uid="{00000000-0005-0000-0000-000007000000}"/>
    <cellStyle name="Comma 2 2 2" xfId="2" xr:uid="{00000000-0005-0000-0000-000008000000}"/>
    <cellStyle name="Comma 23 2" xfId="10" xr:uid="{00000000-0005-0000-0000-000009000000}"/>
    <cellStyle name="Comma 3" xfId="16" xr:uid="{00000000-0005-0000-0000-00000A000000}"/>
    <cellStyle name="Normal" xfId="0" builtinId="0"/>
    <cellStyle name="Normal 2 2" xfId="12" xr:uid="{00000000-0005-0000-0000-00000C000000}"/>
    <cellStyle name="Normal 3 4" xfId="5" xr:uid="{00000000-0005-0000-0000-00000D000000}"/>
    <cellStyle name="Normal 6 6" xfId="8" xr:uid="{00000000-0005-0000-0000-00000E000000}"/>
    <cellStyle name="Percent" xfId="13" builtinId="5"/>
    <cellStyle name="Percent 9 3" xfId="14" xr:uid="{00000000-0005-0000-0000-000010000000}"/>
    <cellStyle name="Percent 9 3 2" xfId="17" xr:uid="{00000000-0005-0000-0000-000011000000}"/>
    <cellStyle name="Percent 9 3 2 2 2" xfId="19" xr:uid="{9C8FAEB0-A89C-4B59-A96E-D41DA4E13C4E}"/>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NG%20HOP%202024/QUYET%20TOAN%20NS&#272;P%202023/HO%20SO%20TRINH%20CHINH%20THUC/Trinh%20H&#272;ND/Bieu%20Quyet%20toan%202023%20theo%20Nghi%20&#273;&#7883;nh%2031%20cua%20Chinh%20ph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quachtlong/AppData/Local/Temp/VNPT%20Plugin/Nghi%20quyet%2083_Bieu%20kem%20th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u nội địa"/>
      <sheetName val="Tong hop phan cong"/>
      <sheetName val="Bieu 48"/>
      <sheetName val="Bieu 50"/>
      <sheetName val="Bieu 51"/>
      <sheetName val="bieu 52"/>
      <sheetName val="bieu 53"/>
      <sheetName val="Bieu 54 "/>
      <sheetName val="Bieu 54"/>
      <sheetName val="Bieu 58"/>
      <sheetName val="Bieu 59"/>
      <sheetName val="Bieu 61_Hien"/>
      <sheetName val="Bieu 61"/>
      <sheetName val="Biêu 63"/>
      <sheetName val="Biêu 64"/>
    </sheetNames>
    <sheetDataSet>
      <sheetData sheetId="0"/>
      <sheetData sheetId="1"/>
      <sheetData sheetId="2"/>
      <sheetData sheetId="3"/>
      <sheetData sheetId="4">
        <row r="7">
          <cell r="E7">
            <v>13280792.109786998</v>
          </cell>
        </row>
        <row r="10">
          <cell r="E10">
            <v>934996.24130999972</v>
          </cell>
        </row>
        <row r="11">
          <cell r="E11">
            <v>929539.24130999972</v>
          </cell>
        </row>
        <row r="17">
          <cell r="E17">
            <v>92630.203923000008</v>
          </cell>
        </row>
        <row r="20">
          <cell r="E20">
            <v>5302320.2779660001</v>
          </cell>
        </row>
        <row r="22">
          <cell r="E22">
            <v>2565200.1236549998</v>
          </cell>
        </row>
        <row r="23">
          <cell r="E23">
            <v>10721.876273000002</v>
          </cell>
        </row>
        <row r="24">
          <cell r="E24">
            <v>1649.2660000000001</v>
          </cell>
        </row>
        <row r="25">
          <cell r="E25">
            <v>1000</v>
          </cell>
        </row>
        <row r="27">
          <cell r="E27">
            <v>109404.806157</v>
          </cell>
        </row>
        <row r="28">
          <cell r="E28">
            <v>8583.1678499999998</v>
          </cell>
        </row>
        <row r="29">
          <cell r="E29">
            <v>23104</v>
          </cell>
        </row>
        <row r="30">
          <cell r="E30">
            <v>12206.46313</v>
          </cell>
        </row>
        <row r="36">
          <cell r="E36">
            <v>975133.13161100016</v>
          </cell>
        </row>
        <row r="37">
          <cell r="E37">
            <v>898937.91782800015</v>
          </cell>
        </row>
        <row r="52">
          <cell r="D52">
            <v>79855</v>
          </cell>
        </row>
        <row r="53">
          <cell r="D53">
            <v>0</v>
          </cell>
        </row>
        <row r="64">
          <cell r="E64">
            <v>4429726.1766579999</v>
          </cell>
        </row>
        <row r="65">
          <cell r="E65">
            <v>198741.61247100003</v>
          </cell>
        </row>
      </sheetData>
      <sheetData sheetId="5">
        <row r="13">
          <cell r="D13">
            <v>1367322.7954070005</v>
          </cell>
        </row>
        <row r="29">
          <cell r="D29">
            <v>1956062.0657650002</v>
          </cell>
        </row>
        <row r="31">
          <cell r="D31">
            <v>8667.0846550000006</v>
          </cell>
        </row>
        <row r="43">
          <cell r="D43">
            <v>1649.2660000000001</v>
          </cell>
        </row>
        <row r="44">
          <cell r="D44">
            <v>1000</v>
          </cell>
        </row>
        <row r="47">
          <cell r="D47">
            <v>109404.806157</v>
          </cell>
        </row>
        <row r="48">
          <cell r="D48">
            <v>8583.1678499999998</v>
          </cell>
        </row>
        <row r="49">
          <cell r="D49">
            <v>23104</v>
          </cell>
        </row>
        <row r="50">
          <cell r="D50">
            <v>2859544.5055379998</v>
          </cell>
        </row>
        <row r="51">
          <cell r="D51">
            <v>122849.305433</v>
          </cell>
        </row>
      </sheetData>
      <sheetData sheetId="6">
        <row r="25">
          <cell r="G25">
            <v>1649.2660000000001</v>
          </cell>
        </row>
        <row r="29">
          <cell r="G29">
            <v>8583.1678499999998</v>
          </cell>
        </row>
        <row r="65">
          <cell r="G65">
            <v>2859544.5055379998</v>
          </cell>
        </row>
        <row r="66">
          <cell r="G66">
            <v>122849.305433</v>
          </cell>
        </row>
      </sheetData>
      <sheetData sheetId="7"/>
      <sheetData sheetId="8"/>
      <sheetData sheetId="9">
        <row r="12">
          <cell r="U12">
            <v>2079204.2235629996</v>
          </cell>
        </row>
      </sheetData>
      <sheetData sheetId="10"/>
      <sheetData sheetId="11"/>
      <sheetData sheetId="12">
        <row r="13">
          <cell r="AB13">
            <v>37864.328269999998</v>
          </cell>
          <cell r="AC13">
            <v>120647.24831899996</v>
          </cell>
          <cell r="AD13">
            <v>32551.847166999996</v>
          </cell>
          <cell r="AK13">
            <v>9754.4888759999994</v>
          </cell>
          <cell r="AR13">
            <v>116205.24054599997</v>
          </cell>
        </row>
        <row r="43">
          <cell r="AD43">
            <v>298128.06991399999</v>
          </cell>
          <cell r="AK43">
            <v>233244.728741</v>
          </cell>
          <cell r="AR43">
            <v>594042.59138999996</v>
          </cell>
        </row>
      </sheetData>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u nội địa"/>
      <sheetName val="Tong hop phan cong"/>
      <sheetName val="Bieu 48"/>
      <sheetName val="Bieu 50_"/>
      <sheetName val="Bieu 51_"/>
      <sheetName val="bieu 52_"/>
      <sheetName val="bieu 53_"/>
      <sheetName val="Bieu 54_"/>
      <sheetName val="Bieu 54"/>
      <sheetName val="Bieu 58"/>
      <sheetName val="Bieu 59"/>
      <sheetName val="Bieu 61_Hien"/>
      <sheetName val="Bieu 61"/>
      <sheetName val="Biêu 63"/>
      <sheetName val="Biêu 64"/>
    </sheetNames>
    <sheetDataSet>
      <sheetData sheetId="0" refreshError="1"/>
      <sheetData sheetId="1" refreshError="1"/>
      <sheetData sheetId="2" refreshError="1"/>
      <sheetData sheetId="3" refreshError="1"/>
      <sheetData sheetId="4">
        <row r="24">
          <cell r="D24">
            <v>9500.851999999999</v>
          </cell>
        </row>
        <row r="27">
          <cell r="D27">
            <v>51310</v>
          </cell>
        </row>
      </sheetData>
      <sheetData sheetId="5">
        <row r="9">
          <cell r="D9">
            <v>2007071</v>
          </cell>
        </row>
      </sheetData>
      <sheetData sheetId="6">
        <row r="25">
          <cell r="G25">
            <v>9500.851999999999</v>
          </cell>
        </row>
        <row r="26">
          <cell r="G26">
            <v>1000</v>
          </cell>
        </row>
        <row r="106">
          <cell r="G106">
            <v>1326874.6171550001</v>
          </cell>
        </row>
        <row r="107">
          <cell r="G107">
            <v>331567.81606899999</v>
          </cell>
        </row>
      </sheetData>
      <sheetData sheetId="7">
        <row r="116">
          <cell r="T116">
            <v>533490.10800000001</v>
          </cell>
        </row>
      </sheetData>
      <sheetData sheetId="8" refreshError="1"/>
      <sheetData sheetId="9" refreshError="1"/>
      <sheetData sheetId="10">
        <row r="10">
          <cell r="K10">
            <v>2540560.6151000001</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zoomScale="90" zoomScaleNormal="90" workbookViewId="0">
      <pane xSplit="2" ySplit="7" topLeftCell="C8" activePane="bottomRight" state="frozen"/>
      <selection pane="topRight" activeCell="C1" sqref="C1"/>
      <selection pane="bottomLeft" activeCell="A8" sqref="A8"/>
      <selection pane="bottomRight" activeCell="A4" sqref="A4:E4"/>
    </sheetView>
  </sheetViews>
  <sheetFormatPr defaultColWidth="9.140625" defaultRowHeight="15.75" outlineLevelRow="1" x14ac:dyDescent="0.25"/>
  <cols>
    <col min="1" max="1" width="6.42578125" style="9" customWidth="1"/>
    <col min="2" max="2" width="52.85546875" style="9" customWidth="1"/>
    <col min="3" max="3" width="13" style="9" customWidth="1"/>
    <col min="4" max="4" width="13.42578125" style="9" customWidth="1"/>
    <col min="5" max="5" width="9.140625" style="9" customWidth="1"/>
    <col min="6" max="6" width="9.140625" style="9"/>
    <col min="7" max="7" width="15.140625" style="9" customWidth="1"/>
    <col min="8" max="8" width="15.42578125" style="9" customWidth="1"/>
    <col min="9" max="16384" width="9.140625" style="9"/>
  </cols>
  <sheetData>
    <row r="1" spans="1:11" x14ac:dyDescent="0.25">
      <c r="A1" s="15"/>
      <c r="D1" s="15" t="s">
        <v>0</v>
      </c>
    </row>
    <row r="2" spans="1:11" x14ac:dyDescent="0.25">
      <c r="A2" s="1"/>
      <c r="B2" s="21"/>
    </row>
    <row r="3" spans="1:11" ht="24" customHeight="1" x14ac:dyDescent="0.25">
      <c r="A3" s="318" t="s">
        <v>627</v>
      </c>
      <c r="B3" s="318"/>
      <c r="C3" s="318"/>
      <c r="D3" s="318"/>
      <c r="E3" s="318"/>
    </row>
    <row r="4" spans="1:11" ht="20.25" customHeight="1" x14ac:dyDescent="0.25">
      <c r="A4" s="319" t="s">
        <v>708</v>
      </c>
      <c r="B4" s="319"/>
      <c r="C4" s="319"/>
      <c r="D4" s="319"/>
      <c r="E4" s="319"/>
    </row>
    <row r="5" spans="1:11" x14ac:dyDescent="0.25">
      <c r="B5" s="2"/>
      <c r="C5" s="6"/>
      <c r="D5" s="11" t="s">
        <v>1</v>
      </c>
    </row>
    <row r="6" spans="1:11" ht="50.25" customHeight="1" x14ac:dyDescent="0.25">
      <c r="A6" s="30" t="s">
        <v>2</v>
      </c>
      <c r="B6" s="30" t="s">
        <v>3</v>
      </c>
      <c r="C6" s="30" t="s">
        <v>4</v>
      </c>
      <c r="D6" s="30" t="s">
        <v>5</v>
      </c>
      <c r="E6" s="30" t="s">
        <v>6</v>
      </c>
      <c r="F6" s="47"/>
      <c r="G6" s="6"/>
    </row>
    <row r="7" spans="1:11" x14ac:dyDescent="0.25">
      <c r="A7" s="34" t="s">
        <v>7</v>
      </c>
      <c r="B7" s="34" t="s">
        <v>8</v>
      </c>
      <c r="C7" s="34">
        <v>1</v>
      </c>
      <c r="D7" s="34">
        <v>2</v>
      </c>
      <c r="E7" s="34" t="s">
        <v>9</v>
      </c>
    </row>
    <row r="8" spans="1:11" s="26" customFormat="1" ht="21.6" customHeight="1" x14ac:dyDescent="0.25">
      <c r="A8" s="198" t="s">
        <v>7</v>
      </c>
      <c r="B8" s="199" t="s">
        <v>10</v>
      </c>
      <c r="C8" s="245">
        <f t="shared" ref="C8" si="0">C9+C12+C15+C16+C17+C18+C19+C20</f>
        <v>10809697</v>
      </c>
      <c r="D8" s="245">
        <f>D9+D12+D15+D16+D17+D18+D19+D20+0.3</f>
        <v>13452482.562412998</v>
      </c>
      <c r="E8" s="252">
        <f t="shared" ref="E8:E17" si="1">IF((C8&gt;0),D8/C8*100,0)</f>
        <v>124.44828529803378</v>
      </c>
      <c r="G8" s="28"/>
      <c r="H8" s="28"/>
    </row>
    <row r="9" spans="1:11" x14ac:dyDescent="0.25">
      <c r="A9" s="125">
        <v>1</v>
      </c>
      <c r="B9" s="33" t="s">
        <v>11</v>
      </c>
      <c r="C9" s="246">
        <f>C10+C11</f>
        <v>4014300</v>
      </c>
      <c r="D9" s="246">
        <f>D10+D11</f>
        <v>2816358.8077810002</v>
      </c>
      <c r="E9" s="253">
        <f t="shared" si="1"/>
        <v>70.158154791146657</v>
      </c>
      <c r="G9" s="6"/>
      <c r="H9" s="25"/>
      <c r="I9" s="26"/>
      <c r="J9" s="26"/>
      <c r="K9" s="26"/>
    </row>
    <row r="10" spans="1:11" x14ac:dyDescent="0.25">
      <c r="A10" s="125" t="s">
        <v>12</v>
      </c>
      <c r="B10" s="33" t="s">
        <v>13</v>
      </c>
      <c r="C10" s="73">
        <v>2616500</v>
      </c>
      <c r="D10" s="73">
        <v>1458832.7394419999</v>
      </c>
      <c r="E10" s="253">
        <f t="shared" si="1"/>
        <v>55.75512094179247</v>
      </c>
      <c r="H10" s="27"/>
    </row>
    <row r="11" spans="1:11" x14ac:dyDescent="0.25">
      <c r="A11" s="125" t="s">
        <v>12</v>
      </c>
      <c r="B11" s="33" t="s">
        <v>14</v>
      </c>
      <c r="C11" s="73">
        <v>1397800</v>
      </c>
      <c r="D11" s="73">
        <v>1357526.0683390002</v>
      </c>
      <c r="E11" s="253">
        <f t="shared" si="1"/>
        <v>97.118762937401641</v>
      </c>
      <c r="H11" s="6"/>
    </row>
    <row r="12" spans="1:11" x14ac:dyDescent="0.25">
      <c r="A12" s="125">
        <v>2</v>
      </c>
      <c r="B12" s="33" t="s">
        <v>15</v>
      </c>
      <c r="C12" s="246">
        <f>C13+C14</f>
        <v>6795397</v>
      </c>
      <c r="D12" s="246">
        <f>D13+D14</f>
        <v>6860812.2966939993</v>
      </c>
      <c r="E12" s="253">
        <f t="shared" si="1"/>
        <v>100.96264128047264</v>
      </c>
      <c r="H12" s="27"/>
    </row>
    <row r="13" spans="1:11" x14ac:dyDescent="0.25">
      <c r="A13" s="125" t="s">
        <v>12</v>
      </c>
      <c r="B13" s="33" t="s">
        <v>16</v>
      </c>
      <c r="C13" s="246">
        <v>3646673</v>
      </c>
      <c r="D13" s="247">
        <v>3645849</v>
      </c>
      <c r="E13" s="253">
        <f t="shared" si="1"/>
        <v>99.977404061181247</v>
      </c>
      <c r="H13" s="27"/>
    </row>
    <row r="14" spans="1:11" x14ac:dyDescent="0.25">
      <c r="A14" s="125" t="s">
        <v>12</v>
      </c>
      <c r="B14" s="33" t="s">
        <v>17</v>
      </c>
      <c r="C14" s="246">
        <v>3148724</v>
      </c>
      <c r="D14" s="247">
        <v>3214963.2966939998</v>
      </c>
      <c r="E14" s="253">
        <f t="shared" si="1"/>
        <v>102.10368697586705</v>
      </c>
      <c r="G14" s="6"/>
      <c r="H14" s="27"/>
    </row>
    <row r="15" spans="1:11" x14ac:dyDescent="0.25">
      <c r="A15" s="125">
        <v>3</v>
      </c>
      <c r="B15" s="33" t="s">
        <v>18</v>
      </c>
      <c r="C15" s="73"/>
      <c r="D15" s="73"/>
      <c r="E15" s="253">
        <f t="shared" si="1"/>
        <v>0</v>
      </c>
      <c r="H15" s="35"/>
    </row>
    <row r="16" spans="1:11" x14ac:dyDescent="0.25">
      <c r="A16" s="125">
        <v>4</v>
      </c>
      <c r="B16" s="33" t="s">
        <v>229</v>
      </c>
      <c r="C16" s="73"/>
      <c r="D16" s="73">
        <v>73723.517011000004</v>
      </c>
      <c r="E16" s="253">
        <f t="shared" si="1"/>
        <v>0</v>
      </c>
    </row>
    <row r="17" spans="1:11" x14ac:dyDescent="0.25">
      <c r="A17" s="125">
        <v>5</v>
      </c>
      <c r="B17" s="33" t="s">
        <v>19</v>
      </c>
      <c r="C17" s="73"/>
      <c r="D17" s="73">
        <v>3563988.770759</v>
      </c>
      <c r="E17" s="253">
        <f t="shared" si="1"/>
        <v>0</v>
      </c>
    </row>
    <row r="18" spans="1:11" x14ac:dyDescent="0.25">
      <c r="A18" s="125">
        <v>6</v>
      </c>
      <c r="B18" s="33" t="s">
        <v>137</v>
      </c>
      <c r="C18" s="73"/>
      <c r="D18" s="73">
        <v>75892.407038000005</v>
      </c>
      <c r="E18" s="253"/>
      <c r="H18" s="6"/>
    </row>
    <row r="19" spans="1:11" x14ac:dyDescent="0.25">
      <c r="A19" s="125">
        <v>7</v>
      </c>
      <c r="B19" s="33" t="s">
        <v>162</v>
      </c>
      <c r="C19" s="73"/>
      <c r="D19" s="73">
        <v>12206.46313</v>
      </c>
      <c r="E19" s="253"/>
    </row>
    <row r="20" spans="1:11" x14ac:dyDescent="0.25">
      <c r="A20" s="125">
        <v>8</v>
      </c>
      <c r="B20" s="33" t="s">
        <v>230</v>
      </c>
      <c r="C20" s="73"/>
      <c r="D20" s="73">
        <v>49500</v>
      </c>
      <c r="E20" s="253"/>
    </row>
    <row r="21" spans="1:11" s="26" customFormat="1" x14ac:dyDescent="0.25">
      <c r="A21" s="85" t="s">
        <v>8</v>
      </c>
      <c r="B21" s="86" t="s">
        <v>20</v>
      </c>
      <c r="C21" s="248">
        <f>C22+C33+C36+C37</f>
        <v>10886897.002868228</v>
      </c>
      <c r="D21" s="248">
        <f>D22+D33+D36+D37</f>
        <v>13280792.109786998</v>
      </c>
      <c r="E21" s="254">
        <f t="shared" ref="E21:E45" si="2">IF((C21&gt;0),D21/C21*100,0)</f>
        <v>121.98877335101162</v>
      </c>
      <c r="G21" s="28"/>
      <c r="H21" s="28"/>
      <c r="I21" s="9"/>
      <c r="J21" s="9"/>
      <c r="K21" s="9"/>
    </row>
    <row r="22" spans="1:11" s="26" customFormat="1" x14ac:dyDescent="0.25">
      <c r="A22" s="85" t="s">
        <v>39</v>
      </c>
      <c r="B22" s="86" t="s">
        <v>547</v>
      </c>
      <c r="C22" s="248">
        <f>C23+C32</f>
        <v>7738173.0028682286</v>
      </c>
      <c r="D22" s="248">
        <f>D23+D32</f>
        <v>6393264.2224129997</v>
      </c>
      <c r="E22" s="254">
        <f t="shared" si="2"/>
        <v>82.619815039587181</v>
      </c>
      <c r="H22" s="28"/>
    </row>
    <row r="23" spans="1:11" s="26" customFormat="1" x14ac:dyDescent="0.25">
      <c r="A23" s="85" t="s">
        <v>257</v>
      </c>
      <c r="B23" s="86" t="s">
        <v>548</v>
      </c>
      <c r="C23" s="248">
        <f>SUM(C24:C31)</f>
        <v>7660973.0028682286</v>
      </c>
      <c r="D23" s="248">
        <f>SUM(D24:D31)</f>
        <v>6381057.7592829997</v>
      </c>
      <c r="E23" s="254">
        <f t="shared" si="2"/>
        <v>83.293045895005307</v>
      </c>
      <c r="H23" s="28"/>
    </row>
    <row r="24" spans="1:11" x14ac:dyDescent="0.25">
      <c r="A24" s="125">
        <v>1</v>
      </c>
      <c r="B24" s="33" t="s">
        <v>21</v>
      </c>
      <c r="C24" s="73">
        <v>1009037</v>
      </c>
      <c r="D24" s="73">
        <v>934996.24130999972</v>
      </c>
      <c r="E24" s="253">
        <f t="shared" si="2"/>
        <v>92.662235508707781</v>
      </c>
      <c r="H24" s="28"/>
      <c r="I24" s="26"/>
      <c r="J24" s="26"/>
      <c r="K24" s="26"/>
    </row>
    <row r="25" spans="1:11" x14ac:dyDescent="0.25">
      <c r="A25" s="125">
        <v>2</v>
      </c>
      <c r="B25" s="33" t="s">
        <v>22</v>
      </c>
      <c r="C25" s="73">
        <v>5267711</v>
      </c>
      <c r="D25" s="73">
        <v>5302320.2779660001</v>
      </c>
      <c r="E25" s="253">
        <f t="shared" si="2"/>
        <v>100.65700791038081</v>
      </c>
      <c r="G25" s="6"/>
      <c r="H25" s="6"/>
    </row>
    <row r="26" spans="1:11" x14ac:dyDescent="0.25">
      <c r="A26" s="125">
        <v>3</v>
      </c>
      <c r="B26" s="33" t="s">
        <v>628</v>
      </c>
      <c r="C26" s="73">
        <v>2200</v>
      </c>
      <c r="D26" s="73">
        <v>1649.2660000000001</v>
      </c>
      <c r="E26" s="253">
        <f t="shared" si="2"/>
        <v>74.966636363636368</v>
      </c>
    </row>
    <row r="27" spans="1:11" x14ac:dyDescent="0.25">
      <c r="A27" s="125">
        <v>4</v>
      </c>
      <c r="B27" s="33" t="s">
        <v>23</v>
      </c>
      <c r="C27" s="73">
        <v>1000</v>
      </c>
      <c r="D27" s="73">
        <v>1000</v>
      </c>
      <c r="E27" s="253">
        <f t="shared" si="2"/>
        <v>100</v>
      </c>
    </row>
    <row r="28" spans="1:11" x14ac:dyDescent="0.25">
      <c r="A28" s="125">
        <v>5</v>
      </c>
      <c r="B28" s="33" t="s">
        <v>24</v>
      </c>
      <c r="C28" s="73">
        <v>153219.00286822853</v>
      </c>
      <c r="D28" s="73">
        <v>0</v>
      </c>
      <c r="E28" s="253">
        <f t="shared" si="2"/>
        <v>0</v>
      </c>
    </row>
    <row r="29" spans="1:11" x14ac:dyDescent="0.25">
      <c r="A29" s="125">
        <v>6</v>
      </c>
      <c r="B29" s="33" t="s">
        <v>424</v>
      </c>
      <c r="C29" s="73">
        <v>1227806</v>
      </c>
      <c r="D29" s="73">
        <v>109404.806157</v>
      </c>
      <c r="E29" s="253">
        <f t="shared" si="2"/>
        <v>8.9105938688196655</v>
      </c>
    </row>
    <row r="30" spans="1:11" x14ac:dyDescent="0.25">
      <c r="A30" s="125">
        <v>7</v>
      </c>
      <c r="B30" s="33" t="s">
        <v>629</v>
      </c>
      <c r="C30" s="73">
        <v>0</v>
      </c>
      <c r="D30" s="73">
        <v>8583.1678499999998</v>
      </c>
      <c r="E30" s="253">
        <f t="shared" si="2"/>
        <v>0</v>
      </c>
    </row>
    <row r="31" spans="1:11" x14ac:dyDescent="0.25">
      <c r="A31" s="125">
        <v>8</v>
      </c>
      <c r="B31" s="33" t="s">
        <v>426</v>
      </c>
      <c r="C31" s="73">
        <v>0</v>
      </c>
      <c r="D31" s="73">
        <v>23104</v>
      </c>
      <c r="E31" s="253">
        <f t="shared" si="2"/>
        <v>0</v>
      </c>
    </row>
    <row r="32" spans="1:11" x14ac:dyDescent="0.25">
      <c r="A32" s="85" t="s">
        <v>363</v>
      </c>
      <c r="B32" s="86" t="s">
        <v>243</v>
      </c>
      <c r="C32" s="227">
        <v>77200</v>
      </c>
      <c r="D32" s="227">
        <v>12206.46313</v>
      </c>
      <c r="E32" s="254">
        <f t="shared" si="2"/>
        <v>15.811480738341968</v>
      </c>
    </row>
    <row r="33" spans="1:5" s="26" customFormat="1" x14ac:dyDescent="0.25">
      <c r="A33" s="85" t="s">
        <v>25</v>
      </c>
      <c r="B33" s="86" t="s">
        <v>26</v>
      </c>
      <c r="C33" s="248">
        <f>C34+C35</f>
        <v>3148724</v>
      </c>
      <c r="D33" s="249">
        <f>D34+D35</f>
        <v>2259060.098245</v>
      </c>
      <c r="E33" s="254">
        <f t="shared" si="2"/>
        <v>71.745256117875059</v>
      </c>
    </row>
    <row r="34" spans="1:5" ht="15.75" customHeight="1" x14ac:dyDescent="0.25">
      <c r="A34" s="125">
        <v>1</v>
      </c>
      <c r="B34" s="33" t="s">
        <v>27</v>
      </c>
      <c r="C34" s="246">
        <v>1243102</v>
      </c>
      <c r="D34" s="247">
        <v>1283926.966634</v>
      </c>
      <c r="E34" s="253">
        <f t="shared" si="2"/>
        <v>103.28412042085043</v>
      </c>
    </row>
    <row r="35" spans="1:5" x14ac:dyDescent="0.25">
      <c r="A35" s="125">
        <v>2</v>
      </c>
      <c r="B35" s="33" t="s">
        <v>28</v>
      </c>
      <c r="C35" s="246">
        <v>1905622</v>
      </c>
      <c r="D35" s="247">
        <v>975133.13161100005</v>
      </c>
      <c r="E35" s="253">
        <f t="shared" si="2"/>
        <v>51.171382971596678</v>
      </c>
    </row>
    <row r="36" spans="1:5" s="26" customFormat="1" x14ac:dyDescent="0.25">
      <c r="A36" s="85" t="s">
        <v>29</v>
      </c>
      <c r="B36" s="86" t="s">
        <v>30</v>
      </c>
      <c r="C36" s="248">
        <v>0</v>
      </c>
      <c r="D36" s="250">
        <v>4429726.1766579999</v>
      </c>
      <c r="E36" s="253">
        <f t="shared" si="2"/>
        <v>0</v>
      </c>
    </row>
    <row r="37" spans="1:5" s="26" customFormat="1" x14ac:dyDescent="0.25">
      <c r="A37" s="85" t="s">
        <v>56</v>
      </c>
      <c r="B37" s="86" t="s">
        <v>146</v>
      </c>
      <c r="C37" s="248">
        <v>0</v>
      </c>
      <c r="D37" s="250">
        <v>198741.61247100003</v>
      </c>
      <c r="E37" s="253">
        <f t="shared" si="2"/>
        <v>0</v>
      </c>
    </row>
    <row r="38" spans="1:5" s="26" customFormat="1" x14ac:dyDescent="0.25">
      <c r="A38" s="85" t="s">
        <v>31</v>
      </c>
      <c r="B38" s="86" t="s">
        <v>388</v>
      </c>
      <c r="C38" s="248"/>
      <c r="D38" s="248"/>
      <c r="E38" s="254">
        <f t="shared" si="2"/>
        <v>0</v>
      </c>
    </row>
    <row r="39" spans="1:5" s="26" customFormat="1" x14ac:dyDescent="0.25">
      <c r="A39" s="85" t="s">
        <v>32</v>
      </c>
      <c r="B39" s="86" t="s">
        <v>165</v>
      </c>
      <c r="C39" s="248">
        <f>C40+C41</f>
        <v>0</v>
      </c>
      <c r="D39" s="248">
        <f>D40+D41</f>
        <v>8583.1678499999998</v>
      </c>
      <c r="E39" s="254">
        <f t="shared" si="2"/>
        <v>0</v>
      </c>
    </row>
    <row r="40" spans="1:5" outlineLevel="1" x14ac:dyDescent="0.25">
      <c r="A40" s="125">
        <v>1</v>
      </c>
      <c r="B40" s="33" t="s">
        <v>166</v>
      </c>
      <c r="C40" s="73"/>
      <c r="D40" s="73"/>
      <c r="E40" s="253">
        <f t="shared" si="2"/>
        <v>0</v>
      </c>
    </row>
    <row r="41" spans="1:5" ht="31.5" outlineLevel="1" x14ac:dyDescent="0.25">
      <c r="A41" s="125">
        <v>2</v>
      </c>
      <c r="B41" s="33" t="s">
        <v>167</v>
      </c>
      <c r="C41" s="247"/>
      <c r="D41" s="247">
        <v>8583.1678499999998</v>
      </c>
      <c r="E41" s="253">
        <f t="shared" si="2"/>
        <v>0</v>
      </c>
    </row>
    <row r="42" spans="1:5" s="26" customFormat="1" x14ac:dyDescent="0.25">
      <c r="A42" s="85" t="s">
        <v>172</v>
      </c>
      <c r="B42" s="86" t="s">
        <v>168</v>
      </c>
      <c r="C42" s="248">
        <f>C43+C44</f>
        <v>77200</v>
      </c>
      <c r="D42" s="248">
        <f>D43+D44</f>
        <v>12206.46313</v>
      </c>
      <c r="E42" s="254">
        <f t="shared" si="2"/>
        <v>15.811480738341968</v>
      </c>
    </row>
    <row r="43" spans="1:5" outlineLevel="1" x14ac:dyDescent="0.25">
      <c r="A43" s="125">
        <v>1</v>
      </c>
      <c r="B43" s="33" t="s">
        <v>169</v>
      </c>
      <c r="C43" s="73">
        <v>77200</v>
      </c>
      <c r="D43" s="246">
        <v>12206.46313</v>
      </c>
      <c r="E43" s="253">
        <f t="shared" si="2"/>
        <v>15.811480738341968</v>
      </c>
    </row>
    <row r="44" spans="1:5" outlineLevel="1" x14ac:dyDescent="0.25">
      <c r="A44" s="125">
        <v>2</v>
      </c>
      <c r="B44" s="33" t="s">
        <v>170</v>
      </c>
      <c r="C44" s="73"/>
      <c r="D44" s="246"/>
      <c r="E44" s="253">
        <f t="shared" si="2"/>
        <v>0</v>
      </c>
    </row>
    <row r="45" spans="1:5" s="26" customFormat="1" x14ac:dyDescent="0.25">
      <c r="A45" s="91" t="s">
        <v>33</v>
      </c>
      <c r="B45" s="92" t="s">
        <v>171</v>
      </c>
      <c r="C45" s="251">
        <v>154035</v>
      </c>
      <c r="D45" s="251">
        <v>78149.866347000003</v>
      </c>
      <c r="E45" s="255">
        <f t="shared" si="2"/>
        <v>50.735135746421264</v>
      </c>
    </row>
    <row r="46" spans="1:5" x14ac:dyDescent="0.25">
      <c r="A46" s="36"/>
      <c r="C46" s="10"/>
      <c r="D46" s="10"/>
    </row>
    <row r="47" spans="1:5" x14ac:dyDescent="0.25">
      <c r="C47" s="10"/>
      <c r="D47" s="10"/>
    </row>
  </sheetData>
  <mergeCells count="2">
    <mergeCell ref="A3:E3"/>
    <mergeCell ref="A4:E4"/>
  </mergeCells>
  <printOptions horizontalCentered="1"/>
  <pageMargins left="0.45" right="0"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0"/>
  <sheetViews>
    <sheetView zoomScale="85" zoomScaleNormal="85" workbookViewId="0">
      <pane xSplit="2" ySplit="8" topLeftCell="C9" activePane="bottomRight" state="frozen"/>
      <selection pane="topRight" activeCell="C1" sqref="C1"/>
      <selection pane="bottomLeft" activeCell="A9" sqref="A9"/>
      <selection pane="bottomRight" activeCell="A4" sqref="A4:H4"/>
    </sheetView>
  </sheetViews>
  <sheetFormatPr defaultColWidth="9.140625" defaultRowHeight="15.75" outlineLevelRow="1" x14ac:dyDescent="0.25"/>
  <cols>
    <col min="1" max="1" width="5.85546875" style="9" customWidth="1"/>
    <col min="2" max="2" width="49" style="9" customWidth="1"/>
    <col min="3" max="3" width="15.85546875" style="9" customWidth="1"/>
    <col min="4" max="4" width="14.7109375" style="9" customWidth="1"/>
    <col min="5" max="5" width="15.28515625" style="7" customWidth="1"/>
    <col min="6" max="6" width="15.5703125" style="7" customWidth="1"/>
    <col min="7" max="7" width="13" style="9" customWidth="1"/>
    <col min="8" max="8" width="12.28515625" style="9" customWidth="1"/>
    <col min="9" max="9" width="9.140625" style="9"/>
    <col min="10" max="10" width="18.42578125" style="10" customWidth="1"/>
    <col min="11" max="16384" width="9.140625" style="9"/>
  </cols>
  <sheetData>
    <row r="1" spans="1:10" x14ac:dyDescent="0.25">
      <c r="A1" s="15"/>
      <c r="C1" s="6"/>
      <c r="D1" s="6"/>
      <c r="F1" s="8" t="s">
        <v>34</v>
      </c>
      <c r="J1" s="9"/>
    </row>
    <row r="2" spans="1:10" ht="9" customHeight="1" x14ac:dyDescent="0.25">
      <c r="A2" s="16"/>
      <c r="J2" s="9"/>
    </row>
    <row r="3" spans="1:10" ht="16.5" x14ac:dyDescent="0.25">
      <c r="A3" s="318" t="s">
        <v>649</v>
      </c>
      <c r="B3" s="318"/>
      <c r="C3" s="318"/>
      <c r="D3" s="318"/>
      <c r="E3" s="318"/>
      <c r="F3" s="318"/>
      <c r="G3" s="318"/>
      <c r="H3" s="318"/>
      <c r="J3" s="9"/>
    </row>
    <row r="4" spans="1:10" x14ac:dyDescent="0.25">
      <c r="A4" s="319" t="s">
        <v>708</v>
      </c>
      <c r="B4" s="319"/>
      <c r="C4" s="319"/>
      <c r="D4" s="319"/>
      <c r="E4" s="319"/>
      <c r="F4" s="319"/>
      <c r="G4" s="319"/>
      <c r="H4" s="319"/>
      <c r="J4" s="9"/>
    </row>
    <row r="5" spans="1:10" x14ac:dyDescent="0.25">
      <c r="B5" s="2"/>
      <c r="C5" s="10"/>
      <c r="D5" s="10"/>
      <c r="E5" s="10"/>
      <c r="F5" s="10"/>
      <c r="G5" s="11" t="s">
        <v>1</v>
      </c>
      <c r="J5" s="9"/>
    </row>
    <row r="6" spans="1:10" s="37" customFormat="1" ht="15.75" customHeight="1" x14ac:dyDescent="0.25">
      <c r="A6" s="320" t="s">
        <v>2</v>
      </c>
      <c r="B6" s="320" t="s">
        <v>123</v>
      </c>
      <c r="C6" s="320" t="s">
        <v>107</v>
      </c>
      <c r="D6" s="320"/>
      <c r="E6" s="320" t="s">
        <v>108</v>
      </c>
      <c r="F6" s="320"/>
      <c r="G6" s="320" t="s">
        <v>109</v>
      </c>
      <c r="H6" s="320"/>
    </row>
    <row r="7" spans="1:10" s="37" customFormat="1" ht="36.6" customHeight="1" x14ac:dyDescent="0.25">
      <c r="A7" s="320"/>
      <c r="B7" s="320"/>
      <c r="C7" s="222" t="s">
        <v>174</v>
      </c>
      <c r="D7" s="222" t="s">
        <v>156</v>
      </c>
      <c r="E7" s="222" t="s">
        <v>174</v>
      </c>
      <c r="F7" s="222" t="s">
        <v>156</v>
      </c>
      <c r="G7" s="222" t="s">
        <v>174</v>
      </c>
      <c r="H7" s="222" t="s">
        <v>156</v>
      </c>
      <c r="I7" s="47"/>
    </row>
    <row r="8" spans="1:10" s="37" customFormat="1" x14ac:dyDescent="0.25">
      <c r="A8" s="223" t="s">
        <v>7</v>
      </c>
      <c r="B8" s="223" t="s">
        <v>8</v>
      </c>
      <c r="C8" s="223">
        <v>1</v>
      </c>
      <c r="D8" s="223">
        <v>2</v>
      </c>
      <c r="E8" s="223">
        <v>3</v>
      </c>
      <c r="F8" s="223">
        <v>4</v>
      </c>
      <c r="G8" s="223" t="s">
        <v>36</v>
      </c>
      <c r="H8" s="223" t="s">
        <v>37</v>
      </c>
    </row>
    <row r="9" spans="1:10" s="37" customFormat="1" ht="25.9" customHeight="1" x14ac:dyDescent="0.25">
      <c r="A9" s="257"/>
      <c r="B9" s="258" t="s">
        <v>175</v>
      </c>
      <c r="C9" s="259">
        <v>4500000</v>
      </c>
      <c r="D9" s="259">
        <v>4014300</v>
      </c>
      <c r="E9" s="259">
        <v>7021575.2350979988</v>
      </c>
      <c r="F9" s="259">
        <v>6515778.0773869995</v>
      </c>
      <c r="G9" s="260">
        <v>156.03500522439998</v>
      </c>
      <c r="H9" s="261">
        <v>162.31417874565926</v>
      </c>
      <c r="I9" s="38"/>
    </row>
    <row r="10" spans="1:10" s="40" customFormat="1" x14ac:dyDescent="0.25">
      <c r="A10" s="262" t="s">
        <v>7</v>
      </c>
      <c r="B10" s="263" t="s">
        <v>38</v>
      </c>
      <c r="C10" s="264">
        <v>4500000</v>
      </c>
      <c r="D10" s="264">
        <v>4014300</v>
      </c>
      <c r="E10" s="264">
        <v>3371656.4841979994</v>
      </c>
      <c r="F10" s="264">
        <v>2865859.3264869996</v>
      </c>
      <c r="G10" s="265">
        <v>74.925699648844429</v>
      </c>
      <c r="H10" s="265">
        <v>71.391259409785008</v>
      </c>
      <c r="I10" s="39"/>
    </row>
    <row r="11" spans="1:10" s="40" customFormat="1" x14ac:dyDescent="0.25">
      <c r="A11" s="262" t="s">
        <v>39</v>
      </c>
      <c r="B11" s="263" t="s">
        <v>40</v>
      </c>
      <c r="C11" s="264">
        <v>4207000</v>
      </c>
      <c r="D11" s="264">
        <v>4014300</v>
      </c>
      <c r="E11" s="264">
        <v>2995649.0278319996</v>
      </c>
      <c r="F11" s="264">
        <v>2816359.3264869996</v>
      </c>
      <c r="G11" s="265">
        <v>71.206299686997852</v>
      </c>
      <c r="H11" s="265">
        <v>70.158167712602435</v>
      </c>
    </row>
    <row r="12" spans="1:10" s="37" customFormat="1" x14ac:dyDescent="0.25">
      <c r="A12" s="262">
        <v>1</v>
      </c>
      <c r="B12" s="263" t="s">
        <v>427</v>
      </c>
      <c r="C12" s="264">
        <v>702000</v>
      </c>
      <c r="D12" s="264">
        <v>702000</v>
      </c>
      <c r="E12" s="264">
        <v>781591.65902499994</v>
      </c>
      <c r="F12" s="264">
        <v>781591.55902500008</v>
      </c>
      <c r="G12" s="265">
        <v>111.33784316595441</v>
      </c>
      <c r="H12" s="265">
        <v>111.33782892094017</v>
      </c>
    </row>
    <row r="13" spans="1:10" s="37" customFormat="1" x14ac:dyDescent="0.25">
      <c r="A13" s="266" t="s">
        <v>78</v>
      </c>
      <c r="B13" s="267" t="s">
        <v>176</v>
      </c>
      <c r="C13" s="268">
        <v>304000</v>
      </c>
      <c r="D13" s="268">
        <v>304000</v>
      </c>
      <c r="E13" s="268">
        <v>332151.18342100002</v>
      </c>
      <c r="F13" s="268">
        <v>332151.18342100002</v>
      </c>
      <c r="G13" s="269">
        <v>109.26025770427631</v>
      </c>
      <c r="H13" s="269">
        <v>109.26025770427631</v>
      </c>
    </row>
    <row r="14" spans="1:10" s="37" customFormat="1" x14ac:dyDescent="0.25">
      <c r="A14" s="266" t="s">
        <v>79</v>
      </c>
      <c r="B14" s="267" t="s">
        <v>177</v>
      </c>
      <c r="C14" s="268">
        <v>15000</v>
      </c>
      <c r="D14" s="268">
        <v>15000</v>
      </c>
      <c r="E14" s="268">
        <v>7719.0238549999995</v>
      </c>
      <c r="F14" s="268">
        <v>7719.0238549999995</v>
      </c>
      <c r="G14" s="269">
        <v>51.460159033333333</v>
      </c>
      <c r="H14" s="269">
        <v>51.460159033333333</v>
      </c>
    </row>
    <row r="15" spans="1:10" s="37" customFormat="1" x14ac:dyDescent="0.25">
      <c r="A15" s="266" t="s">
        <v>80</v>
      </c>
      <c r="B15" s="267" t="s">
        <v>178</v>
      </c>
      <c r="C15" s="268">
        <v>383000</v>
      </c>
      <c r="D15" s="268">
        <v>383000</v>
      </c>
      <c r="E15" s="268">
        <v>441721.451749</v>
      </c>
      <c r="F15" s="268">
        <v>441721.35174900002</v>
      </c>
      <c r="G15" s="269">
        <v>115.33197173603133</v>
      </c>
      <c r="H15" s="269">
        <v>115.33194562637077</v>
      </c>
    </row>
    <row r="16" spans="1:10" s="37" customFormat="1" ht="15.75" hidden="1" customHeight="1" outlineLevel="1" x14ac:dyDescent="0.25">
      <c r="A16" s="270" t="s">
        <v>142</v>
      </c>
      <c r="B16" s="267" t="s">
        <v>179</v>
      </c>
      <c r="C16" s="268"/>
      <c r="D16" s="268">
        <v>0</v>
      </c>
      <c r="E16" s="268"/>
      <c r="F16" s="268"/>
      <c r="G16" s="269">
        <v>0</v>
      </c>
      <c r="H16" s="269">
        <v>0</v>
      </c>
    </row>
    <row r="17" spans="1:8" s="37" customFormat="1" ht="15.75" hidden="1" customHeight="1" outlineLevel="1" x14ac:dyDescent="0.25">
      <c r="A17" s="270" t="s">
        <v>142</v>
      </c>
      <c r="B17" s="267" t="s">
        <v>180</v>
      </c>
      <c r="C17" s="268"/>
      <c r="D17" s="268">
        <v>0</v>
      </c>
      <c r="E17" s="268"/>
      <c r="F17" s="268"/>
      <c r="G17" s="269">
        <v>0</v>
      </c>
      <c r="H17" s="269">
        <v>0</v>
      </c>
    </row>
    <row r="18" spans="1:8" s="37" customFormat="1" ht="31.5" collapsed="1" x14ac:dyDescent="0.25">
      <c r="A18" s="262">
        <v>2</v>
      </c>
      <c r="B18" s="263" t="s">
        <v>630</v>
      </c>
      <c r="C18" s="264">
        <v>50000</v>
      </c>
      <c r="D18" s="264">
        <v>50000</v>
      </c>
      <c r="E18" s="264">
        <v>56841.187715</v>
      </c>
      <c r="F18" s="264">
        <v>56840.787714999999</v>
      </c>
      <c r="G18" s="265">
        <v>113.68237542999999</v>
      </c>
      <c r="H18" s="265">
        <v>113.68157543</v>
      </c>
    </row>
    <row r="19" spans="1:8" s="37" customFormat="1" x14ac:dyDescent="0.25">
      <c r="A19" s="266" t="s">
        <v>138</v>
      </c>
      <c r="B19" s="267" t="s">
        <v>176</v>
      </c>
      <c r="C19" s="268">
        <v>35000</v>
      </c>
      <c r="D19" s="268">
        <v>35000</v>
      </c>
      <c r="E19" s="268">
        <v>37916.320470999999</v>
      </c>
      <c r="F19" s="268">
        <v>37915.920470999998</v>
      </c>
      <c r="G19" s="269">
        <v>108.33234420285713</v>
      </c>
      <c r="H19" s="269">
        <v>108.33120134571428</v>
      </c>
    </row>
    <row r="20" spans="1:8" s="37" customFormat="1" x14ac:dyDescent="0.25">
      <c r="A20" s="266" t="s">
        <v>139</v>
      </c>
      <c r="B20" s="267" t="s">
        <v>177</v>
      </c>
      <c r="C20" s="268">
        <v>14000</v>
      </c>
      <c r="D20" s="268">
        <v>14000</v>
      </c>
      <c r="E20" s="268">
        <v>18477.750156000002</v>
      </c>
      <c r="F20" s="268">
        <v>18477.750156000002</v>
      </c>
      <c r="G20" s="269">
        <v>131.98392968571432</v>
      </c>
      <c r="H20" s="269">
        <v>131.98392968571432</v>
      </c>
    </row>
    <row r="21" spans="1:8" s="37" customFormat="1" x14ac:dyDescent="0.25">
      <c r="A21" s="266" t="s">
        <v>140</v>
      </c>
      <c r="B21" s="267" t="s">
        <v>178</v>
      </c>
      <c r="C21" s="268">
        <v>1000</v>
      </c>
      <c r="D21" s="268">
        <v>1000</v>
      </c>
      <c r="E21" s="268">
        <v>447.11708800000002</v>
      </c>
      <c r="F21" s="268">
        <v>447.11708800000002</v>
      </c>
      <c r="G21" s="269">
        <v>44.711708800000004</v>
      </c>
      <c r="H21" s="269">
        <v>44.711708800000004</v>
      </c>
    </row>
    <row r="22" spans="1:8" s="37" customFormat="1" ht="15.75" hidden="1" customHeight="1" outlineLevel="1" x14ac:dyDescent="0.25">
      <c r="A22" s="270" t="s">
        <v>142</v>
      </c>
      <c r="B22" s="267" t="s">
        <v>181</v>
      </c>
      <c r="C22" s="268"/>
      <c r="D22" s="268">
        <v>0</v>
      </c>
      <c r="E22" s="268"/>
      <c r="F22" s="268"/>
      <c r="G22" s="269">
        <v>0</v>
      </c>
      <c r="H22" s="269">
        <v>0</v>
      </c>
    </row>
    <row r="23" spans="1:8" s="37" customFormat="1" ht="15.75" hidden="1" customHeight="1" outlineLevel="1" x14ac:dyDescent="0.25">
      <c r="A23" s="270" t="s">
        <v>142</v>
      </c>
      <c r="B23" s="267" t="s">
        <v>180</v>
      </c>
      <c r="C23" s="268"/>
      <c r="D23" s="268">
        <v>0</v>
      </c>
      <c r="E23" s="268"/>
      <c r="F23" s="268"/>
      <c r="G23" s="269">
        <v>0</v>
      </c>
      <c r="H23" s="269">
        <v>0</v>
      </c>
    </row>
    <row r="24" spans="1:8" s="37" customFormat="1" ht="31.5" collapsed="1" x14ac:dyDescent="0.25">
      <c r="A24" s="262">
        <v>3</v>
      </c>
      <c r="B24" s="263" t="s">
        <v>631</v>
      </c>
      <c r="C24" s="264">
        <v>6000</v>
      </c>
      <c r="D24" s="264">
        <v>6000</v>
      </c>
      <c r="E24" s="264">
        <v>1951.0778099999998</v>
      </c>
      <c r="F24" s="264">
        <v>1950.6778099999997</v>
      </c>
      <c r="G24" s="265">
        <v>32.517963499999993</v>
      </c>
      <c r="H24" s="265">
        <v>32.511296833333333</v>
      </c>
    </row>
    <row r="25" spans="1:8" s="37" customFormat="1" x14ac:dyDescent="0.25">
      <c r="A25" s="266" t="s">
        <v>143</v>
      </c>
      <c r="B25" s="267" t="s">
        <v>176</v>
      </c>
      <c r="C25" s="268">
        <v>2000</v>
      </c>
      <c r="D25" s="268">
        <v>2000</v>
      </c>
      <c r="E25" s="268">
        <v>1085.1111069999999</v>
      </c>
      <c r="F25" s="268">
        <v>1084.7111069999999</v>
      </c>
      <c r="G25" s="269">
        <v>54.255555349999995</v>
      </c>
      <c r="H25" s="269">
        <v>54.235555349999998</v>
      </c>
    </row>
    <row r="26" spans="1:8" s="37" customFormat="1" x14ac:dyDescent="0.25">
      <c r="A26" s="266" t="s">
        <v>144</v>
      </c>
      <c r="B26" s="267" t="s">
        <v>177</v>
      </c>
      <c r="C26" s="268">
        <v>4000</v>
      </c>
      <c r="D26" s="268">
        <v>4000</v>
      </c>
      <c r="E26" s="268">
        <v>865.96670299999994</v>
      </c>
      <c r="F26" s="268">
        <v>865.96670299999994</v>
      </c>
      <c r="G26" s="269">
        <v>21.649167574999996</v>
      </c>
      <c r="H26" s="269">
        <v>21.649167574999996</v>
      </c>
    </row>
    <row r="27" spans="1:8" s="37" customFormat="1" x14ac:dyDescent="0.25">
      <c r="A27" s="262">
        <v>4</v>
      </c>
      <c r="B27" s="263" t="s">
        <v>632</v>
      </c>
      <c r="C27" s="264">
        <v>980000</v>
      </c>
      <c r="D27" s="264">
        <v>980000</v>
      </c>
      <c r="E27" s="264">
        <v>1130965.9373340001</v>
      </c>
      <c r="F27" s="264">
        <v>1130965.537334</v>
      </c>
      <c r="G27" s="265">
        <v>115.40468748306122</v>
      </c>
      <c r="H27" s="265">
        <v>115.40464666673469</v>
      </c>
    </row>
    <row r="28" spans="1:8" s="37" customFormat="1" x14ac:dyDescent="0.25">
      <c r="A28" s="266" t="s">
        <v>182</v>
      </c>
      <c r="B28" s="267" t="s">
        <v>176</v>
      </c>
      <c r="C28" s="268">
        <v>707000</v>
      </c>
      <c r="D28" s="268">
        <v>707000</v>
      </c>
      <c r="E28" s="268">
        <v>774236.82074200001</v>
      </c>
      <c r="F28" s="268">
        <v>774236.42074199999</v>
      </c>
      <c r="G28" s="269">
        <v>109.51015852079209</v>
      </c>
      <c r="H28" s="269">
        <v>109.51010194370581</v>
      </c>
    </row>
    <row r="29" spans="1:8" s="37" customFormat="1" x14ac:dyDescent="0.25">
      <c r="A29" s="266" t="s">
        <v>183</v>
      </c>
      <c r="B29" s="267" t="s">
        <v>177</v>
      </c>
      <c r="C29" s="268">
        <v>35000</v>
      </c>
      <c r="D29" s="268">
        <v>35000</v>
      </c>
      <c r="E29" s="268">
        <v>64430.183325000005</v>
      </c>
      <c r="F29" s="268">
        <v>64430.183325000005</v>
      </c>
      <c r="G29" s="269">
        <v>184.0862380714286</v>
      </c>
      <c r="H29" s="269">
        <v>184.0862380714286</v>
      </c>
    </row>
    <row r="30" spans="1:8" s="37" customFormat="1" x14ac:dyDescent="0.25">
      <c r="A30" s="266" t="s">
        <v>184</v>
      </c>
      <c r="B30" s="267" t="s">
        <v>185</v>
      </c>
      <c r="C30" s="268">
        <v>3000</v>
      </c>
      <c r="D30" s="268">
        <v>3000</v>
      </c>
      <c r="E30" s="268">
        <v>2936.7722749999998</v>
      </c>
      <c r="F30" s="268">
        <v>2936.7722749999998</v>
      </c>
      <c r="G30" s="269">
        <v>97.892409166666667</v>
      </c>
      <c r="H30" s="269">
        <v>97.892409166666667</v>
      </c>
    </row>
    <row r="31" spans="1:8" s="37" customFormat="1" x14ac:dyDescent="0.25">
      <c r="A31" s="266" t="s">
        <v>186</v>
      </c>
      <c r="B31" s="267" t="s">
        <v>178</v>
      </c>
      <c r="C31" s="268">
        <v>235000</v>
      </c>
      <c r="D31" s="268">
        <v>235000</v>
      </c>
      <c r="E31" s="268">
        <v>289362.16099200002</v>
      </c>
      <c r="F31" s="268">
        <v>289362.16099200002</v>
      </c>
      <c r="G31" s="269">
        <v>123.13283446468087</v>
      </c>
      <c r="H31" s="269">
        <v>123.13283446468087</v>
      </c>
    </row>
    <row r="32" spans="1:8" s="37" customFormat="1" ht="15.75" hidden="1" customHeight="1" outlineLevel="1" x14ac:dyDescent="0.25">
      <c r="A32" s="270" t="s">
        <v>142</v>
      </c>
      <c r="B32" s="267" t="s">
        <v>179</v>
      </c>
      <c r="C32" s="268"/>
      <c r="D32" s="268">
        <v>0</v>
      </c>
      <c r="E32" s="268"/>
      <c r="F32" s="268">
        <v>0</v>
      </c>
      <c r="G32" s="269">
        <v>0</v>
      </c>
      <c r="H32" s="269">
        <v>0</v>
      </c>
    </row>
    <row r="33" spans="1:8" s="37" customFormat="1" ht="15.75" hidden="1" customHeight="1" outlineLevel="1" x14ac:dyDescent="0.25">
      <c r="A33" s="270" t="s">
        <v>142</v>
      </c>
      <c r="B33" s="267" t="s">
        <v>180</v>
      </c>
      <c r="C33" s="268"/>
      <c r="D33" s="268">
        <v>0</v>
      </c>
      <c r="E33" s="268"/>
      <c r="F33" s="268">
        <v>0</v>
      </c>
      <c r="G33" s="269">
        <v>0</v>
      </c>
      <c r="H33" s="269">
        <v>0</v>
      </c>
    </row>
    <row r="34" spans="1:8" s="37" customFormat="1" collapsed="1" x14ac:dyDescent="0.25">
      <c r="A34" s="262">
        <v>5</v>
      </c>
      <c r="B34" s="263" t="s">
        <v>41</v>
      </c>
      <c r="C34" s="264">
        <v>115000</v>
      </c>
      <c r="D34" s="264">
        <v>115000</v>
      </c>
      <c r="E34" s="264">
        <v>117705.909577</v>
      </c>
      <c r="F34" s="264">
        <v>117705.909577</v>
      </c>
      <c r="G34" s="265">
        <v>102.35296484956523</v>
      </c>
      <c r="H34" s="265">
        <v>102.35296484956523</v>
      </c>
    </row>
    <row r="35" spans="1:8" s="37" customFormat="1" x14ac:dyDescent="0.25">
      <c r="A35" s="262">
        <v>6</v>
      </c>
      <c r="B35" s="263" t="s">
        <v>42</v>
      </c>
      <c r="C35" s="264">
        <v>273000</v>
      </c>
      <c r="D35" s="264">
        <v>163800</v>
      </c>
      <c r="E35" s="264">
        <v>152558.693478</v>
      </c>
      <c r="F35" s="264">
        <v>91536.834262000004</v>
      </c>
      <c r="G35" s="265">
        <v>55.882305303296711</v>
      </c>
      <c r="H35" s="265">
        <v>55.883293200244196</v>
      </c>
    </row>
    <row r="36" spans="1:8" s="41" customFormat="1" ht="31.5" x14ac:dyDescent="0.25">
      <c r="A36" s="271" t="s">
        <v>12</v>
      </c>
      <c r="B36" s="272" t="s">
        <v>232</v>
      </c>
      <c r="C36" s="273">
        <v>163800</v>
      </c>
      <c r="D36" s="273">
        <v>163800</v>
      </c>
      <c r="E36" s="273">
        <v>4.0454129999999999</v>
      </c>
      <c r="F36" s="273">
        <v>4.0454129999999999</v>
      </c>
      <c r="G36" s="274">
        <v>2.4697271062271062E-3</v>
      </c>
      <c r="H36" s="274">
        <v>2.4697271062271062E-3</v>
      </c>
    </row>
    <row r="37" spans="1:8" s="41" customFormat="1" ht="31.5" x14ac:dyDescent="0.25">
      <c r="A37" s="271" t="s">
        <v>12</v>
      </c>
      <c r="B37" s="272" t="s">
        <v>233</v>
      </c>
      <c r="C37" s="273">
        <v>109200</v>
      </c>
      <c r="D37" s="273"/>
      <c r="E37" s="273">
        <v>0</v>
      </c>
      <c r="F37" s="273"/>
      <c r="G37" s="274">
        <v>0</v>
      </c>
      <c r="H37" s="274">
        <v>0</v>
      </c>
    </row>
    <row r="38" spans="1:8" s="37" customFormat="1" x14ac:dyDescent="0.25">
      <c r="A38" s="262">
        <v>7</v>
      </c>
      <c r="B38" s="263" t="s">
        <v>43</v>
      </c>
      <c r="C38" s="264">
        <v>110000</v>
      </c>
      <c r="D38" s="264">
        <v>110000</v>
      </c>
      <c r="E38" s="264">
        <v>90718.425603000011</v>
      </c>
      <c r="F38" s="264">
        <v>90718.025603000016</v>
      </c>
      <c r="G38" s="265">
        <v>82.471296002727286</v>
      </c>
      <c r="H38" s="265">
        <v>82.470932366363641</v>
      </c>
    </row>
    <row r="39" spans="1:8" s="37" customFormat="1" x14ac:dyDescent="0.25">
      <c r="A39" s="262">
        <v>8</v>
      </c>
      <c r="B39" s="263" t="s">
        <v>187</v>
      </c>
      <c r="C39" s="264">
        <v>57000</v>
      </c>
      <c r="D39" s="264">
        <v>47000</v>
      </c>
      <c r="E39" s="264">
        <v>56345.806458000006</v>
      </c>
      <c r="F39" s="264">
        <v>45468.195528999997</v>
      </c>
      <c r="G39" s="265">
        <v>98.852292031578955</v>
      </c>
      <c r="H39" s="265">
        <v>96.740841551063824</v>
      </c>
    </row>
    <row r="40" spans="1:8" s="41" customFormat="1" x14ac:dyDescent="0.25">
      <c r="A40" s="271" t="s">
        <v>12</v>
      </c>
      <c r="B40" s="272" t="s">
        <v>188</v>
      </c>
      <c r="C40" s="273">
        <v>10000</v>
      </c>
      <c r="D40" s="273"/>
      <c r="E40" s="273">
        <v>11181.245779000001</v>
      </c>
      <c r="F40" s="273">
        <v>303.63485000000003</v>
      </c>
      <c r="G40" s="274">
        <v>111.81245779</v>
      </c>
      <c r="H40" s="265">
        <v>0</v>
      </c>
    </row>
    <row r="41" spans="1:8" s="41" customFormat="1" x14ac:dyDescent="0.25">
      <c r="A41" s="271" t="s">
        <v>12</v>
      </c>
      <c r="B41" s="272" t="s">
        <v>189</v>
      </c>
      <c r="C41" s="273"/>
      <c r="D41" s="273"/>
      <c r="E41" s="273">
        <v>21952.378333000001</v>
      </c>
      <c r="F41" s="273">
        <v>21952.378333000001</v>
      </c>
      <c r="G41" s="274">
        <v>0</v>
      </c>
      <c r="H41" s="274">
        <v>0</v>
      </c>
    </row>
    <row r="42" spans="1:8" s="41" customFormat="1" x14ac:dyDescent="0.25">
      <c r="A42" s="271" t="s">
        <v>12</v>
      </c>
      <c r="B42" s="272" t="s">
        <v>190</v>
      </c>
      <c r="C42" s="273"/>
      <c r="D42" s="273">
        <v>0</v>
      </c>
      <c r="E42" s="273">
        <v>12140.188043</v>
      </c>
      <c r="F42" s="273">
        <v>12140.188043</v>
      </c>
      <c r="G42" s="274">
        <v>0</v>
      </c>
      <c r="H42" s="274">
        <v>0</v>
      </c>
    </row>
    <row r="43" spans="1:8" s="41" customFormat="1" x14ac:dyDescent="0.25">
      <c r="A43" s="271" t="s">
        <v>12</v>
      </c>
      <c r="B43" s="272" t="s">
        <v>191</v>
      </c>
      <c r="C43" s="273"/>
      <c r="D43" s="273"/>
      <c r="E43" s="273">
        <v>11071.994303000001</v>
      </c>
      <c r="F43" s="273">
        <v>11071.994303000001</v>
      </c>
      <c r="G43" s="274">
        <v>0</v>
      </c>
      <c r="H43" s="274">
        <v>0</v>
      </c>
    </row>
    <row r="44" spans="1:8" s="37" customFormat="1" x14ac:dyDescent="0.25">
      <c r="A44" s="262">
        <v>9</v>
      </c>
      <c r="B44" s="263" t="s">
        <v>44</v>
      </c>
      <c r="C44" s="264">
        <v>0</v>
      </c>
      <c r="D44" s="264">
        <v>0</v>
      </c>
      <c r="E44" s="264">
        <v>50.514676000000001</v>
      </c>
      <c r="F44" s="264">
        <v>50.514676000000001</v>
      </c>
      <c r="G44" s="265">
        <v>0</v>
      </c>
      <c r="H44" s="265">
        <v>0</v>
      </c>
    </row>
    <row r="45" spans="1:8" s="37" customFormat="1" x14ac:dyDescent="0.25">
      <c r="A45" s="262">
        <v>10</v>
      </c>
      <c r="B45" s="263" t="s">
        <v>45</v>
      </c>
      <c r="C45" s="264">
        <v>3300</v>
      </c>
      <c r="D45" s="264">
        <v>3300</v>
      </c>
      <c r="E45" s="264">
        <v>4185.8163480000003</v>
      </c>
      <c r="F45" s="264">
        <v>4185.8163480000003</v>
      </c>
      <c r="G45" s="265">
        <v>126.84291963636365</v>
      </c>
      <c r="H45" s="265">
        <v>126.84291963636365</v>
      </c>
    </row>
    <row r="46" spans="1:8" s="37" customFormat="1" x14ac:dyDescent="0.25">
      <c r="A46" s="262">
        <v>11</v>
      </c>
      <c r="B46" s="263" t="s">
        <v>46</v>
      </c>
      <c r="C46" s="264">
        <v>22000</v>
      </c>
      <c r="D46" s="264">
        <v>22000</v>
      </c>
      <c r="E46" s="264">
        <v>106567.253199</v>
      </c>
      <c r="F46" s="264">
        <v>106567.253199</v>
      </c>
      <c r="G46" s="265">
        <v>484.39660544999998</v>
      </c>
      <c r="H46" s="265">
        <v>484.39660544999998</v>
      </c>
    </row>
    <row r="47" spans="1:8" s="37" customFormat="1" x14ac:dyDescent="0.25">
      <c r="A47" s="262">
        <v>12</v>
      </c>
      <c r="B47" s="263" t="s">
        <v>47</v>
      </c>
      <c r="C47" s="264">
        <v>400000</v>
      </c>
      <c r="D47" s="264">
        <v>400000</v>
      </c>
      <c r="E47" s="264">
        <v>182294.75075499999</v>
      </c>
      <c r="F47" s="264">
        <v>182294.75075499999</v>
      </c>
      <c r="G47" s="265">
        <v>45.573687688749999</v>
      </c>
      <c r="H47" s="265">
        <v>45.573687688749999</v>
      </c>
    </row>
    <row r="48" spans="1:8" s="37" customFormat="1" ht="31.5" x14ac:dyDescent="0.25">
      <c r="A48" s="262">
        <v>13</v>
      </c>
      <c r="B48" s="263" t="s">
        <v>48</v>
      </c>
      <c r="C48" s="264">
        <v>1137</v>
      </c>
      <c r="D48" s="264">
        <v>1137</v>
      </c>
      <c r="E48" s="264">
        <v>210.51237399999999</v>
      </c>
      <c r="F48" s="264">
        <v>210.51237399999999</v>
      </c>
      <c r="G48" s="265">
        <v>18.514720668425682</v>
      </c>
      <c r="H48" s="265">
        <v>18.514720668425682</v>
      </c>
    </row>
    <row r="49" spans="1:10" s="37" customFormat="1" x14ac:dyDescent="0.25">
      <c r="A49" s="262">
        <v>14</v>
      </c>
      <c r="B49" s="263" t="s">
        <v>192</v>
      </c>
      <c r="C49" s="264">
        <v>77000</v>
      </c>
      <c r="D49" s="264">
        <v>77000</v>
      </c>
      <c r="E49" s="264">
        <v>101382.11545</v>
      </c>
      <c r="F49" s="264">
        <v>101382.11545</v>
      </c>
      <c r="G49" s="265">
        <v>131.665085</v>
      </c>
      <c r="H49" s="265">
        <v>131.665085</v>
      </c>
    </row>
    <row r="50" spans="1:10" s="37" customFormat="1" hidden="1" x14ac:dyDescent="0.25">
      <c r="A50" s="263"/>
      <c r="B50" s="263" t="s">
        <v>234</v>
      </c>
      <c r="C50" s="275"/>
      <c r="D50" s="264">
        <v>0</v>
      </c>
      <c r="E50" s="275"/>
      <c r="F50" s="264">
        <v>0</v>
      </c>
      <c r="G50" s="265">
        <v>0</v>
      </c>
      <c r="H50" s="265">
        <v>0</v>
      </c>
    </row>
    <row r="51" spans="1:10" s="37" customFormat="1" x14ac:dyDescent="0.25">
      <c r="A51" s="262">
        <v>15</v>
      </c>
      <c r="B51" s="263" t="s">
        <v>49</v>
      </c>
      <c r="C51" s="264">
        <v>90000</v>
      </c>
      <c r="D51" s="264">
        <v>37500</v>
      </c>
      <c r="E51" s="264">
        <v>112374.45282400001</v>
      </c>
      <c r="F51" s="264">
        <v>52815.196599999996</v>
      </c>
      <c r="G51" s="265">
        <v>124.86050313777778</v>
      </c>
      <c r="H51" s="265">
        <v>140.84052426666665</v>
      </c>
    </row>
    <row r="52" spans="1:10" s="37" customFormat="1" x14ac:dyDescent="0.25">
      <c r="A52" s="262">
        <v>16</v>
      </c>
      <c r="B52" s="263" t="s">
        <v>50</v>
      </c>
      <c r="C52" s="264">
        <v>65000</v>
      </c>
      <c r="D52" s="264">
        <v>44000</v>
      </c>
      <c r="E52" s="264">
        <v>93816.719257000004</v>
      </c>
      <c r="F52" s="264">
        <v>45988.044280999995</v>
      </c>
      <c r="G52" s="265">
        <v>144.33341424153846</v>
      </c>
      <c r="H52" s="265">
        <v>104.51828245681818</v>
      </c>
    </row>
    <row r="53" spans="1:10" s="37" customFormat="1" x14ac:dyDescent="0.25">
      <c r="A53" s="262">
        <v>17</v>
      </c>
      <c r="B53" s="263" t="s">
        <v>51</v>
      </c>
      <c r="C53" s="264">
        <v>700</v>
      </c>
      <c r="D53" s="264">
        <v>700</v>
      </c>
      <c r="E53" s="264">
        <v>1152.4128539999999</v>
      </c>
      <c r="F53" s="264">
        <v>1152.0128539999998</v>
      </c>
      <c r="G53" s="265">
        <v>164.6304077142857</v>
      </c>
      <c r="H53" s="265">
        <v>164.57326485714282</v>
      </c>
    </row>
    <row r="54" spans="1:10" s="37" customFormat="1" x14ac:dyDescent="0.25">
      <c r="A54" s="262">
        <v>18</v>
      </c>
      <c r="B54" s="263" t="s">
        <v>633</v>
      </c>
      <c r="C54" s="264">
        <v>2000</v>
      </c>
      <c r="D54" s="264">
        <v>2000</v>
      </c>
      <c r="E54" s="264">
        <v>4935.7830949999998</v>
      </c>
      <c r="F54" s="264">
        <v>4935.583095</v>
      </c>
      <c r="G54" s="265">
        <v>246.78915474999999</v>
      </c>
      <c r="H54" s="265">
        <v>246.77915475</v>
      </c>
    </row>
    <row r="55" spans="1:10" s="37" customFormat="1" ht="47.25" x14ac:dyDescent="0.25">
      <c r="A55" s="262">
        <v>19</v>
      </c>
      <c r="B55" s="263" t="s">
        <v>634</v>
      </c>
      <c r="C55" s="264"/>
      <c r="D55" s="264"/>
      <c r="E55" s="264"/>
      <c r="F55" s="264"/>
      <c r="G55" s="265">
        <v>0</v>
      </c>
      <c r="H55" s="265">
        <v>0</v>
      </c>
    </row>
    <row r="56" spans="1:10" s="37" customFormat="1" x14ac:dyDescent="0.25">
      <c r="A56" s="262">
        <v>20</v>
      </c>
      <c r="B56" s="263" t="s">
        <v>635</v>
      </c>
      <c r="C56" s="264"/>
      <c r="D56" s="264"/>
      <c r="E56" s="264"/>
      <c r="F56" s="264"/>
      <c r="G56" s="265">
        <v>0</v>
      </c>
      <c r="H56" s="265">
        <v>0</v>
      </c>
    </row>
    <row r="57" spans="1:10" s="37" customFormat="1" ht="47.25" x14ac:dyDescent="0.25">
      <c r="A57" s="262">
        <v>21</v>
      </c>
      <c r="B57" s="263" t="s">
        <v>235</v>
      </c>
      <c r="C57" s="264">
        <v>1252863</v>
      </c>
      <c r="D57" s="264">
        <v>1252863</v>
      </c>
      <c r="E57" s="264">
        <v>0</v>
      </c>
      <c r="F57" s="264">
        <v>0</v>
      </c>
      <c r="G57" s="265">
        <v>0</v>
      </c>
      <c r="H57" s="265">
        <v>0</v>
      </c>
    </row>
    <row r="58" spans="1:10" s="37" customFormat="1" ht="15.75" hidden="1" customHeight="1" outlineLevel="1" x14ac:dyDescent="0.25">
      <c r="A58" s="271" t="s">
        <v>236</v>
      </c>
      <c r="B58" s="272" t="s">
        <v>72</v>
      </c>
      <c r="C58" s="273"/>
      <c r="D58" s="273"/>
      <c r="E58" s="273"/>
      <c r="F58" s="273"/>
      <c r="G58" s="274">
        <v>0</v>
      </c>
      <c r="H58" s="274">
        <v>0</v>
      </c>
    </row>
    <row r="59" spans="1:10" s="40" customFormat="1" ht="31.5" hidden="1" customHeight="1" outlineLevel="1" x14ac:dyDescent="0.25">
      <c r="A59" s="276" t="s">
        <v>12</v>
      </c>
      <c r="B59" s="214" t="s">
        <v>237</v>
      </c>
      <c r="C59" s="273"/>
      <c r="D59" s="273"/>
      <c r="E59" s="273"/>
      <c r="F59" s="273">
        <v>0</v>
      </c>
      <c r="G59" s="274">
        <v>0</v>
      </c>
      <c r="H59" s="274">
        <v>0</v>
      </c>
    </row>
    <row r="60" spans="1:10" s="40" customFormat="1" ht="47.25" hidden="1" customHeight="1" outlineLevel="1" x14ac:dyDescent="0.25">
      <c r="A60" s="276" t="s">
        <v>12</v>
      </c>
      <c r="B60" s="214" t="s">
        <v>428</v>
      </c>
      <c r="C60" s="273"/>
      <c r="D60" s="273"/>
      <c r="E60" s="273"/>
      <c r="F60" s="273">
        <v>0</v>
      </c>
      <c r="G60" s="274">
        <v>0</v>
      </c>
      <c r="H60" s="274">
        <v>0</v>
      </c>
    </row>
    <row r="61" spans="1:10" s="40" customFormat="1" ht="47.25" hidden="1" customHeight="1" outlineLevel="1" x14ac:dyDescent="0.25">
      <c r="A61" s="276" t="s">
        <v>12</v>
      </c>
      <c r="B61" s="214" t="s">
        <v>550</v>
      </c>
      <c r="C61" s="273"/>
      <c r="D61" s="273"/>
      <c r="E61" s="273"/>
      <c r="F61" s="273">
        <v>0</v>
      </c>
      <c r="G61" s="274">
        <v>0</v>
      </c>
      <c r="H61" s="274">
        <v>0</v>
      </c>
    </row>
    <row r="62" spans="1:10" s="40" customFormat="1" ht="47.25" hidden="1" customHeight="1" outlineLevel="1" x14ac:dyDescent="0.25">
      <c r="A62" s="276" t="s">
        <v>12</v>
      </c>
      <c r="B62" s="214" t="s">
        <v>429</v>
      </c>
      <c r="C62" s="273"/>
      <c r="D62" s="273"/>
      <c r="E62" s="273"/>
      <c r="F62" s="273">
        <v>0</v>
      </c>
      <c r="G62" s="274">
        <v>0</v>
      </c>
      <c r="H62" s="274">
        <v>0</v>
      </c>
    </row>
    <row r="63" spans="1:10" s="127" customFormat="1" ht="31.5" hidden="1" customHeight="1" outlineLevel="1" x14ac:dyDescent="0.25">
      <c r="A63" s="277" t="s">
        <v>12</v>
      </c>
      <c r="B63" s="214" t="s">
        <v>551</v>
      </c>
      <c r="C63" s="264"/>
      <c r="D63" s="264"/>
      <c r="E63" s="273"/>
      <c r="F63" s="273">
        <v>0</v>
      </c>
      <c r="G63" s="265">
        <v>0</v>
      </c>
      <c r="H63" s="265">
        <v>0</v>
      </c>
      <c r="J63" s="128"/>
    </row>
    <row r="64" spans="1:10" s="127" customFormat="1" ht="31.5" hidden="1" customHeight="1" outlineLevel="1" x14ac:dyDescent="0.25">
      <c r="A64" s="276" t="s">
        <v>12</v>
      </c>
      <c r="B64" s="214" t="s">
        <v>430</v>
      </c>
      <c r="C64" s="273"/>
      <c r="D64" s="273"/>
      <c r="E64" s="273"/>
      <c r="F64" s="273">
        <v>0</v>
      </c>
      <c r="G64" s="274">
        <v>0</v>
      </c>
      <c r="H64" s="274">
        <v>0</v>
      </c>
      <c r="J64" s="128"/>
    </row>
    <row r="65" spans="1:10" s="127" customFormat="1" ht="31.5" hidden="1" customHeight="1" outlineLevel="1" x14ac:dyDescent="0.25">
      <c r="A65" s="262"/>
      <c r="B65" s="214" t="s">
        <v>431</v>
      </c>
      <c r="C65" s="264"/>
      <c r="D65" s="264"/>
      <c r="E65" s="273"/>
      <c r="F65" s="273">
        <v>0</v>
      </c>
      <c r="G65" s="265">
        <v>0</v>
      </c>
      <c r="H65" s="265">
        <v>0</v>
      </c>
      <c r="J65" s="128"/>
    </row>
    <row r="66" spans="1:10" ht="31.5" collapsed="1" x14ac:dyDescent="0.25">
      <c r="A66" s="262">
        <v>22</v>
      </c>
      <c r="B66" s="263" t="s">
        <v>432</v>
      </c>
      <c r="C66" s="264">
        <v>0</v>
      </c>
      <c r="D66" s="264">
        <v>0</v>
      </c>
      <c r="E66" s="264"/>
      <c r="F66" s="264"/>
      <c r="G66" s="265">
        <v>0</v>
      </c>
      <c r="H66" s="265">
        <v>0</v>
      </c>
    </row>
    <row r="67" spans="1:10" x14ac:dyDescent="0.25">
      <c r="A67" s="262" t="s">
        <v>25</v>
      </c>
      <c r="B67" s="263" t="s">
        <v>52</v>
      </c>
      <c r="C67" s="268"/>
      <c r="D67" s="268"/>
      <c r="E67" s="268"/>
      <c r="F67" s="268"/>
      <c r="G67" s="265">
        <v>0</v>
      </c>
      <c r="H67" s="265">
        <v>0</v>
      </c>
    </row>
    <row r="68" spans="1:10" x14ac:dyDescent="0.25">
      <c r="A68" s="262" t="s">
        <v>29</v>
      </c>
      <c r="B68" s="263" t="s">
        <v>193</v>
      </c>
      <c r="C68" s="264">
        <v>293000</v>
      </c>
      <c r="D68" s="264">
        <v>0</v>
      </c>
      <c r="E68" s="264">
        <v>326507.456366</v>
      </c>
      <c r="F68" s="264">
        <v>0</v>
      </c>
      <c r="G68" s="265">
        <v>111.43599193378839</v>
      </c>
      <c r="H68" s="265">
        <v>0</v>
      </c>
    </row>
    <row r="69" spans="1:10" x14ac:dyDescent="0.25">
      <c r="A69" s="266">
        <v>1</v>
      </c>
      <c r="B69" s="267" t="s">
        <v>53</v>
      </c>
      <c r="C69" s="268">
        <v>8000</v>
      </c>
      <c r="D69" s="268"/>
      <c r="E69" s="268">
        <v>5100.042829</v>
      </c>
      <c r="F69" s="268"/>
      <c r="G69" s="269">
        <v>63.750535362500003</v>
      </c>
      <c r="H69" s="269">
        <v>0</v>
      </c>
    </row>
    <row r="70" spans="1:10" x14ac:dyDescent="0.25">
      <c r="A70" s="266">
        <v>2</v>
      </c>
      <c r="B70" s="267" t="s">
        <v>54</v>
      </c>
      <c r="C70" s="268">
        <v>5800</v>
      </c>
      <c r="D70" s="268"/>
      <c r="E70" s="268">
        <v>763.82489399999997</v>
      </c>
      <c r="F70" s="268"/>
      <c r="G70" s="269">
        <v>13.169394724137931</v>
      </c>
      <c r="H70" s="269">
        <v>0</v>
      </c>
    </row>
    <row r="71" spans="1:10" x14ac:dyDescent="0.25">
      <c r="A71" s="266">
        <v>3</v>
      </c>
      <c r="B71" s="267" t="s">
        <v>173</v>
      </c>
      <c r="C71" s="268">
        <v>0</v>
      </c>
      <c r="D71" s="268"/>
      <c r="E71" s="268"/>
      <c r="F71" s="268"/>
      <c r="G71" s="269">
        <v>0</v>
      </c>
      <c r="H71" s="269">
        <v>0</v>
      </c>
    </row>
    <row r="72" spans="1:10" x14ac:dyDescent="0.25">
      <c r="A72" s="266">
        <v>4</v>
      </c>
      <c r="B72" s="267" t="s">
        <v>194</v>
      </c>
      <c r="C72" s="268">
        <v>279000</v>
      </c>
      <c r="D72" s="268"/>
      <c r="E72" s="268">
        <v>0.83599999999999997</v>
      </c>
      <c r="F72" s="268"/>
      <c r="G72" s="269">
        <v>2.9964157706093188E-4</v>
      </c>
      <c r="H72" s="269">
        <v>0</v>
      </c>
    </row>
    <row r="73" spans="1:10" x14ac:dyDescent="0.25">
      <c r="A73" s="266">
        <v>5</v>
      </c>
      <c r="B73" s="267" t="s">
        <v>195</v>
      </c>
      <c r="C73" s="268">
        <v>0</v>
      </c>
      <c r="D73" s="268"/>
      <c r="E73" s="268">
        <v>319940.44064599997</v>
      </c>
      <c r="F73" s="268"/>
      <c r="G73" s="269">
        <v>0</v>
      </c>
      <c r="H73" s="269">
        <v>0</v>
      </c>
    </row>
    <row r="74" spans="1:10" x14ac:dyDescent="0.25">
      <c r="A74" s="266">
        <v>6</v>
      </c>
      <c r="B74" s="267" t="s">
        <v>55</v>
      </c>
      <c r="C74" s="268">
        <v>200</v>
      </c>
      <c r="D74" s="268"/>
      <c r="E74" s="268">
        <v>702.31199700000002</v>
      </c>
      <c r="F74" s="268"/>
      <c r="G74" s="269">
        <v>351.15599850000001</v>
      </c>
      <c r="H74" s="269">
        <v>0</v>
      </c>
    </row>
    <row r="75" spans="1:10" x14ac:dyDescent="0.25">
      <c r="A75" s="262" t="s">
        <v>56</v>
      </c>
      <c r="B75" s="263" t="s">
        <v>196</v>
      </c>
      <c r="C75" s="264"/>
      <c r="D75" s="264"/>
      <c r="E75" s="264">
        <v>49500</v>
      </c>
      <c r="F75" s="264">
        <v>49500</v>
      </c>
      <c r="G75" s="265">
        <v>0</v>
      </c>
      <c r="H75" s="265">
        <v>0</v>
      </c>
    </row>
    <row r="76" spans="1:10" x14ac:dyDescent="0.25">
      <c r="A76" s="262" t="s">
        <v>73</v>
      </c>
      <c r="B76" s="263" t="s">
        <v>18</v>
      </c>
      <c r="C76" s="264"/>
      <c r="D76" s="264"/>
      <c r="E76" s="264">
        <v>0</v>
      </c>
      <c r="F76" s="264"/>
      <c r="G76" s="265">
        <v>0</v>
      </c>
      <c r="H76" s="265">
        <v>0</v>
      </c>
    </row>
    <row r="77" spans="1:10" x14ac:dyDescent="0.25">
      <c r="A77" s="262" t="s">
        <v>8</v>
      </c>
      <c r="B77" s="263" t="s">
        <v>238</v>
      </c>
      <c r="C77" s="268"/>
      <c r="D77" s="268"/>
      <c r="E77" s="264">
        <v>12206.46313</v>
      </c>
      <c r="F77" s="264">
        <v>12206.46313</v>
      </c>
      <c r="G77" s="265">
        <v>0</v>
      </c>
      <c r="H77" s="265">
        <v>0</v>
      </c>
    </row>
    <row r="78" spans="1:10" x14ac:dyDescent="0.25">
      <c r="A78" s="262"/>
      <c r="B78" s="33" t="s">
        <v>239</v>
      </c>
      <c r="C78" s="268"/>
      <c r="D78" s="268"/>
      <c r="E78" s="268">
        <v>12206.46313</v>
      </c>
      <c r="F78" s="268">
        <v>12206.46313</v>
      </c>
      <c r="G78" s="265">
        <v>0</v>
      </c>
      <c r="H78" s="265">
        <v>0</v>
      </c>
    </row>
    <row r="79" spans="1:10" x14ac:dyDescent="0.25">
      <c r="A79" s="262" t="s">
        <v>31</v>
      </c>
      <c r="B79" s="263" t="s">
        <v>57</v>
      </c>
      <c r="C79" s="264"/>
      <c r="D79" s="264"/>
      <c r="E79" s="264">
        <v>73723.517011000004</v>
      </c>
      <c r="F79" s="264">
        <v>73723.517011000004</v>
      </c>
      <c r="G79" s="265">
        <v>0</v>
      </c>
      <c r="H79" s="265">
        <v>0</v>
      </c>
    </row>
    <row r="80" spans="1:10" ht="31.5" x14ac:dyDescent="0.25">
      <c r="A80" s="278" t="s">
        <v>32</v>
      </c>
      <c r="B80" s="279" t="s">
        <v>58</v>
      </c>
      <c r="C80" s="280"/>
      <c r="D80" s="280"/>
      <c r="E80" s="280">
        <v>3563988.770759</v>
      </c>
      <c r="F80" s="280">
        <v>3563988.770759</v>
      </c>
      <c r="G80" s="281">
        <v>0</v>
      </c>
      <c r="H80" s="281">
        <v>0</v>
      </c>
    </row>
  </sheetData>
  <mergeCells count="7">
    <mergeCell ref="A3:H3"/>
    <mergeCell ref="A4:H4"/>
    <mergeCell ref="A6:A7"/>
    <mergeCell ref="B6:B7"/>
    <mergeCell ref="C6:D6"/>
    <mergeCell ref="E6:F6"/>
    <mergeCell ref="G6:H6"/>
  </mergeCells>
  <printOptions horizontalCentered="1"/>
  <pageMargins left="0" right="0" top="0.75" bottom="0.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6"/>
  <sheetViews>
    <sheetView showZeros="0" tabSelected="1" zoomScale="85" zoomScaleNormal="85" workbookViewId="0">
      <pane xSplit="2" ySplit="7" topLeftCell="C8" activePane="bottomRight" state="frozen"/>
      <selection pane="topRight" activeCell="C1" sqref="C1"/>
      <selection pane="bottomLeft" activeCell="A9" sqref="A9"/>
      <selection pane="bottomRight" activeCell="A3" sqref="A3:K3"/>
    </sheetView>
  </sheetViews>
  <sheetFormatPr defaultColWidth="9.140625" defaultRowHeight="15" x14ac:dyDescent="0.25"/>
  <cols>
    <col min="1" max="1" width="7.28515625" style="105" customWidth="1"/>
    <col min="2" max="2" width="50.7109375" style="105" customWidth="1"/>
    <col min="3" max="3" width="13.42578125" style="105" customWidth="1"/>
    <col min="4" max="4" width="11.7109375" style="105" customWidth="1"/>
    <col min="5" max="5" width="12.7109375" style="105" customWidth="1"/>
    <col min="6" max="6" width="14" style="105" customWidth="1"/>
    <col min="7" max="7" width="12.5703125" style="105" customWidth="1"/>
    <col min="8" max="8" width="12.140625" style="105" customWidth="1"/>
    <col min="9" max="9" width="11.85546875" style="105" bestFit="1" customWidth="1"/>
    <col min="10" max="10" width="9.85546875" style="105" bestFit="1" customWidth="1"/>
    <col min="11" max="11" width="12.140625" style="105" bestFit="1" customWidth="1"/>
    <col min="12" max="12" width="18.7109375" style="105" customWidth="1"/>
    <col min="13" max="14" width="13.140625" style="105" bestFit="1" customWidth="1"/>
    <col min="15" max="15" width="14.140625" style="105" bestFit="1" customWidth="1"/>
    <col min="16" max="17" width="13.140625" style="105" bestFit="1" customWidth="1"/>
    <col min="18" max="257" width="9.140625" style="105"/>
    <col min="258" max="258" width="38.140625" style="105" customWidth="1"/>
    <col min="259" max="259" width="11.85546875" style="105" customWidth="1"/>
    <col min="260" max="260" width="10.5703125" style="105" customWidth="1"/>
    <col min="261" max="261" width="11" style="105" customWidth="1"/>
    <col min="262" max="264" width="10" style="105" bestFit="1" customWidth="1"/>
    <col min="265" max="265" width="11.42578125" style="105" bestFit="1" customWidth="1"/>
    <col min="266" max="267" width="9.140625" style="105"/>
    <col min="268" max="268" width="29.5703125" style="105" customWidth="1"/>
    <col min="269" max="269" width="10.140625" style="105" bestFit="1" customWidth="1"/>
    <col min="270" max="513" width="9.140625" style="105"/>
    <col min="514" max="514" width="38.140625" style="105" customWidth="1"/>
    <col min="515" max="515" width="11.85546875" style="105" customWidth="1"/>
    <col min="516" max="516" width="10.5703125" style="105" customWidth="1"/>
    <col min="517" max="517" width="11" style="105" customWidth="1"/>
    <col min="518" max="520" width="10" style="105" bestFit="1" customWidth="1"/>
    <col min="521" max="521" width="11.42578125" style="105" bestFit="1" customWidth="1"/>
    <col min="522" max="523" width="9.140625" style="105"/>
    <col min="524" max="524" width="29.5703125" style="105" customWidth="1"/>
    <col min="525" max="525" width="10.140625" style="105" bestFit="1" customWidth="1"/>
    <col min="526" max="769" width="9.140625" style="105"/>
    <col min="770" max="770" width="38.140625" style="105" customWidth="1"/>
    <col min="771" max="771" width="11.85546875" style="105" customWidth="1"/>
    <col min="772" max="772" width="10.5703125" style="105" customWidth="1"/>
    <col min="773" max="773" width="11" style="105" customWidth="1"/>
    <col min="774" max="776" width="10" style="105" bestFit="1" customWidth="1"/>
    <col min="777" max="777" width="11.42578125" style="105" bestFit="1" customWidth="1"/>
    <col min="778" max="779" width="9.140625" style="105"/>
    <col min="780" max="780" width="29.5703125" style="105" customWidth="1"/>
    <col min="781" max="781" width="10.140625" style="105" bestFit="1" customWidth="1"/>
    <col min="782" max="1025" width="9.140625" style="105"/>
    <col min="1026" max="1026" width="38.140625" style="105" customWidth="1"/>
    <col min="1027" max="1027" width="11.85546875" style="105" customWidth="1"/>
    <col min="1028" max="1028" width="10.5703125" style="105" customWidth="1"/>
    <col min="1029" max="1029" width="11" style="105" customWidth="1"/>
    <col min="1030" max="1032" width="10" style="105" bestFit="1" customWidth="1"/>
    <col min="1033" max="1033" width="11.42578125" style="105" bestFit="1" customWidth="1"/>
    <col min="1034" max="1035" width="9.140625" style="105"/>
    <col min="1036" max="1036" width="29.5703125" style="105" customWidth="1"/>
    <col min="1037" max="1037" width="10.140625" style="105" bestFit="1" customWidth="1"/>
    <col min="1038" max="1281" width="9.140625" style="105"/>
    <col min="1282" max="1282" width="38.140625" style="105" customWidth="1"/>
    <col min="1283" max="1283" width="11.85546875" style="105" customWidth="1"/>
    <col min="1284" max="1284" width="10.5703125" style="105" customWidth="1"/>
    <col min="1285" max="1285" width="11" style="105" customWidth="1"/>
    <col min="1286" max="1288" width="10" style="105" bestFit="1" customWidth="1"/>
    <col min="1289" max="1289" width="11.42578125" style="105" bestFit="1" customWidth="1"/>
    <col min="1290" max="1291" width="9.140625" style="105"/>
    <col min="1292" max="1292" width="29.5703125" style="105" customWidth="1"/>
    <col min="1293" max="1293" width="10.140625" style="105" bestFit="1" customWidth="1"/>
    <col min="1294" max="1537" width="9.140625" style="105"/>
    <col min="1538" max="1538" width="38.140625" style="105" customWidth="1"/>
    <col min="1539" max="1539" width="11.85546875" style="105" customWidth="1"/>
    <col min="1540" max="1540" width="10.5703125" style="105" customWidth="1"/>
    <col min="1541" max="1541" width="11" style="105" customWidth="1"/>
    <col min="1542" max="1544" width="10" style="105" bestFit="1" customWidth="1"/>
    <col min="1545" max="1545" width="11.42578125" style="105" bestFit="1" customWidth="1"/>
    <col min="1546" max="1547" width="9.140625" style="105"/>
    <col min="1548" max="1548" width="29.5703125" style="105" customWidth="1"/>
    <col min="1549" max="1549" width="10.140625" style="105" bestFit="1" customWidth="1"/>
    <col min="1550" max="1793" width="9.140625" style="105"/>
    <col min="1794" max="1794" width="38.140625" style="105" customWidth="1"/>
    <col min="1795" max="1795" width="11.85546875" style="105" customWidth="1"/>
    <col min="1796" max="1796" width="10.5703125" style="105" customWidth="1"/>
    <col min="1797" max="1797" width="11" style="105" customWidth="1"/>
    <col min="1798" max="1800" width="10" style="105" bestFit="1" customWidth="1"/>
    <col min="1801" max="1801" width="11.42578125" style="105" bestFit="1" customWidth="1"/>
    <col min="1802" max="1803" width="9.140625" style="105"/>
    <col min="1804" max="1804" width="29.5703125" style="105" customWidth="1"/>
    <col min="1805" max="1805" width="10.140625" style="105" bestFit="1" customWidth="1"/>
    <col min="1806" max="2049" width="9.140625" style="105"/>
    <col min="2050" max="2050" width="38.140625" style="105" customWidth="1"/>
    <col min="2051" max="2051" width="11.85546875" style="105" customWidth="1"/>
    <col min="2052" max="2052" width="10.5703125" style="105" customWidth="1"/>
    <col min="2053" max="2053" width="11" style="105" customWidth="1"/>
    <col min="2054" max="2056" width="10" style="105" bestFit="1" customWidth="1"/>
    <col min="2057" max="2057" width="11.42578125" style="105" bestFit="1" customWidth="1"/>
    <col min="2058" max="2059" width="9.140625" style="105"/>
    <col min="2060" max="2060" width="29.5703125" style="105" customWidth="1"/>
    <col min="2061" max="2061" width="10.140625" style="105" bestFit="1" customWidth="1"/>
    <col min="2062" max="2305" width="9.140625" style="105"/>
    <col min="2306" max="2306" width="38.140625" style="105" customWidth="1"/>
    <col min="2307" max="2307" width="11.85546875" style="105" customWidth="1"/>
    <col min="2308" max="2308" width="10.5703125" style="105" customWidth="1"/>
    <col min="2309" max="2309" width="11" style="105" customWidth="1"/>
    <col min="2310" max="2312" width="10" style="105" bestFit="1" customWidth="1"/>
    <col min="2313" max="2313" width="11.42578125" style="105" bestFit="1" customWidth="1"/>
    <col min="2314" max="2315" width="9.140625" style="105"/>
    <col min="2316" max="2316" width="29.5703125" style="105" customWidth="1"/>
    <col min="2317" max="2317" width="10.140625" style="105" bestFit="1" customWidth="1"/>
    <col min="2318" max="2561" width="9.140625" style="105"/>
    <col min="2562" max="2562" width="38.140625" style="105" customWidth="1"/>
    <col min="2563" max="2563" width="11.85546875" style="105" customWidth="1"/>
    <col min="2564" max="2564" width="10.5703125" style="105" customWidth="1"/>
    <col min="2565" max="2565" width="11" style="105" customWidth="1"/>
    <col min="2566" max="2568" width="10" style="105" bestFit="1" customWidth="1"/>
    <col min="2569" max="2569" width="11.42578125" style="105" bestFit="1" customWidth="1"/>
    <col min="2570" max="2571" width="9.140625" style="105"/>
    <col min="2572" max="2572" width="29.5703125" style="105" customWidth="1"/>
    <col min="2573" max="2573" width="10.140625" style="105" bestFit="1" customWidth="1"/>
    <col min="2574" max="2817" width="9.140625" style="105"/>
    <col min="2818" max="2818" width="38.140625" style="105" customWidth="1"/>
    <col min="2819" max="2819" width="11.85546875" style="105" customWidth="1"/>
    <col min="2820" max="2820" width="10.5703125" style="105" customWidth="1"/>
    <col min="2821" max="2821" width="11" style="105" customWidth="1"/>
    <col min="2822" max="2824" width="10" style="105" bestFit="1" customWidth="1"/>
    <col min="2825" max="2825" width="11.42578125" style="105" bestFit="1" customWidth="1"/>
    <col min="2826" max="2827" width="9.140625" style="105"/>
    <col min="2828" max="2828" width="29.5703125" style="105" customWidth="1"/>
    <col min="2829" max="2829" width="10.140625" style="105" bestFit="1" customWidth="1"/>
    <col min="2830" max="3073" width="9.140625" style="105"/>
    <col min="3074" max="3074" width="38.140625" style="105" customWidth="1"/>
    <col min="3075" max="3075" width="11.85546875" style="105" customWidth="1"/>
    <col min="3076" max="3076" width="10.5703125" style="105" customWidth="1"/>
    <col min="3077" max="3077" width="11" style="105" customWidth="1"/>
    <col min="3078" max="3080" width="10" style="105" bestFit="1" customWidth="1"/>
    <col min="3081" max="3081" width="11.42578125" style="105" bestFit="1" customWidth="1"/>
    <col min="3082" max="3083" width="9.140625" style="105"/>
    <col min="3084" max="3084" width="29.5703125" style="105" customWidth="1"/>
    <col min="3085" max="3085" width="10.140625" style="105" bestFit="1" customWidth="1"/>
    <col min="3086" max="3329" width="9.140625" style="105"/>
    <col min="3330" max="3330" width="38.140625" style="105" customWidth="1"/>
    <col min="3331" max="3331" width="11.85546875" style="105" customWidth="1"/>
    <col min="3332" max="3332" width="10.5703125" style="105" customWidth="1"/>
    <col min="3333" max="3333" width="11" style="105" customWidth="1"/>
    <col min="3334" max="3336" width="10" style="105" bestFit="1" customWidth="1"/>
    <col min="3337" max="3337" width="11.42578125" style="105" bestFit="1" customWidth="1"/>
    <col min="3338" max="3339" width="9.140625" style="105"/>
    <col min="3340" max="3340" width="29.5703125" style="105" customWidth="1"/>
    <col min="3341" max="3341" width="10.140625" style="105" bestFit="1" customWidth="1"/>
    <col min="3342" max="3585" width="9.140625" style="105"/>
    <col min="3586" max="3586" width="38.140625" style="105" customWidth="1"/>
    <col min="3587" max="3587" width="11.85546875" style="105" customWidth="1"/>
    <col min="3588" max="3588" width="10.5703125" style="105" customWidth="1"/>
    <col min="3589" max="3589" width="11" style="105" customWidth="1"/>
    <col min="3590" max="3592" width="10" style="105" bestFit="1" customWidth="1"/>
    <col min="3593" max="3593" width="11.42578125" style="105" bestFit="1" customWidth="1"/>
    <col min="3594" max="3595" width="9.140625" style="105"/>
    <col min="3596" max="3596" width="29.5703125" style="105" customWidth="1"/>
    <col min="3597" max="3597" width="10.140625" style="105" bestFit="1" customWidth="1"/>
    <col min="3598" max="3841" width="9.140625" style="105"/>
    <col min="3842" max="3842" width="38.140625" style="105" customWidth="1"/>
    <col min="3843" max="3843" width="11.85546875" style="105" customWidth="1"/>
    <col min="3844" max="3844" width="10.5703125" style="105" customWidth="1"/>
    <col min="3845" max="3845" width="11" style="105" customWidth="1"/>
    <col min="3846" max="3848" width="10" style="105" bestFit="1" customWidth="1"/>
    <col min="3849" max="3849" width="11.42578125" style="105" bestFit="1" customWidth="1"/>
    <col min="3850" max="3851" width="9.140625" style="105"/>
    <col min="3852" max="3852" width="29.5703125" style="105" customWidth="1"/>
    <col min="3853" max="3853" width="10.140625" style="105" bestFit="1" customWidth="1"/>
    <col min="3854" max="4097" width="9.140625" style="105"/>
    <col min="4098" max="4098" width="38.140625" style="105" customWidth="1"/>
    <col min="4099" max="4099" width="11.85546875" style="105" customWidth="1"/>
    <col min="4100" max="4100" width="10.5703125" style="105" customWidth="1"/>
    <col min="4101" max="4101" width="11" style="105" customWidth="1"/>
    <col min="4102" max="4104" width="10" style="105" bestFit="1" customWidth="1"/>
    <col min="4105" max="4105" width="11.42578125" style="105" bestFit="1" customWidth="1"/>
    <col min="4106" max="4107" width="9.140625" style="105"/>
    <col min="4108" max="4108" width="29.5703125" style="105" customWidth="1"/>
    <col min="4109" max="4109" width="10.140625" style="105" bestFit="1" customWidth="1"/>
    <col min="4110" max="4353" width="9.140625" style="105"/>
    <col min="4354" max="4354" width="38.140625" style="105" customWidth="1"/>
    <col min="4355" max="4355" width="11.85546875" style="105" customWidth="1"/>
    <col min="4356" max="4356" width="10.5703125" style="105" customWidth="1"/>
    <col min="4357" max="4357" width="11" style="105" customWidth="1"/>
    <col min="4358" max="4360" width="10" style="105" bestFit="1" customWidth="1"/>
    <col min="4361" max="4361" width="11.42578125" style="105" bestFit="1" customWidth="1"/>
    <col min="4362" max="4363" width="9.140625" style="105"/>
    <col min="4364" max="4364" width="29.5703125" style="105" customWidth="1"/>
    <col min="4365" max="4365" width="10.140625" style="105" bestFit="1" customWidth="1"/>
    <col min="4366" max="4609" width="9.140625" style="105"/>
    <col min="4610" max="4610" width="38.140625" style="105" customWidth="1"/>
    <col min="4611" max="4611" width="11.85546875" style="105" customWidth="1"/>
    <col min="4612" max="4612" width="10.5703125" style="105" customWidth="1"/>
    <col min="4613" max="4613" width="11" style="105" customWidth="1"/>
    <col min="4614" max="4616" width="10" style="105" bestFit="1" customWidth="1"/>
    <col min="4617" max="4617" width="11.42578125" style="105" bestFit="1" customWidth="1"/>
    <col min="4618" max="4619" width="9.140625" style="105"/>
    <col min="4620" max="4620" width="29.5703125" style="105" customWidth="1"/>
    <col min="4621" max="4621" width="10.140625" style="105" bestFit="1" customWidth="1"/>
    <col min="4622" max="4865" width="9.140625" style="105"/>
    <col min="4866" max="4866" width="38.140625" style="105" customWidth="1"/>
    <col min="4867" max="4867" width="11.85546875" style="105" customWidth="1"/>
    <col min="4868" max="4868" width="10.5703125" style="105" customWidth="1"/>
    <col min="4869" max="4869" width="11" style="105" customWidth="1"/>
    <col min="4870" max="4872" width="10" style="105" bestFit="1" customWidth="1"/>
    <col min="4873" max="4873" width="11.42578125" style="105" bestFit="1" customWidth="1"/>
    <col min="4874" max="4875" width="9.140625" style="105"/>
    <col min="4876" max="4876" width="29.5703125" style="105" customWidth="1"/>
    <col min="4877" max="4877" width="10.140625" style="105" bestFit="1" customWidth="1"/>
    <col min="4878" max="5121" width="9.140625" style="105"/>
    <col min="5122" max="5122" width="38.140625" style="105" customWidth="1"/>
    <col min="5123" max="5123" width="11.85546875" style="105" customWidth="1"/>
    <col min="5124" max="5124" width="10.5703125" style="105" customWidth="1"/>
    <col min="5125" max="5125" width="11" style="105" customWidth="1"/>
    <col min="5126" max="5128" width="10" style="105" bestFit="1" customWidth="1"/>
    <col min="5129" max="5129" width="11.42578125" style="105" bestFit="1" customWidth="1"/>
    <col min="5130" max="5131" width="9.140625" style="105"/>
    <col min="5132" max="5132" width="29.5703125" style="105" customWidth="1"/>
    <col min="5133" max="5133" width="10.140625" style="105" bestFit="1" customWidth="1"/>
    <col min="5134" max="5377" width="9.140625" style="105"/>
    <col min="5378" max="5378" width="38.140625" style="105" customWidth="1"/>
    <col min="5379" max="5379" width="11.85546875" style="105" customWidth="1"/>
    <col min="5380" max="5380" width="10.5703125" style="105" customWidth="1"/>
    <col min="5381" max="5381" width="11" style="105" customWidth="1"/>
    <col min="5382" max="5384" width="10" style="105" bestFit="1" customWidth="1"/>
    <col min="5385" max="5385" width="11.42578125" style="105" bestFit="1" customWidth="1"/>
    <col min="5386" max="5387" width="9.140625" style="105"/>
    <col min="5388" max="5388" width="29.5703125" style="105" customWidth="1"/>
    <col min="5389" max="5389" width="10.140625" style="105" bestFit="1" customWidth="1"/>
    <col min="5390" max="5633" width="9.140625" style="105"/>
    <col min="5634" max="5634" width="38.140625" style="105" customWidth="1"/>
    <col min="5635" max="5635" width="11.85546875" style="105" customWidth="1"/>
    <col min="5636" max="5636" width="10.5703125" style="105" customWidth="1"/>
    <col min="5637" max="5637" width="11" style="105" customWidth="1"/>
    <col min="5638" max="5640" width="10" style="105" bestFit="1" customWidth="1"/>
    <col min="5641" max="5641" width="11.42578125" style="105" bestFit="1" customWidth="1"/>
    <col min="5642" max="5643" width="9.140625" style="105"/>
    <col min="5644" max="5644" width="29.5703125" style="105" customWidth="1"/>
    <col min="5645" max="5645" width="10.140625" style="105" bestFit="1" customWidth="1"/>
    <col min="5646" max="5889" width="9.140625" style="105"/>
    <col min="5890" max="5890" width="38.140625" style="105" customWidth="1"/>
    <col min="5891" max="5891" width="11.85546875" style="105" customWidth="1"/>
    <col min="5892" max="5892" width="10.5703125" style="105" customWidth="1"/>
    <col min="5893" max="5893" width="11" style="105" customWidth="1"/>
    <col min="5894" max="5896" width="10" style="105" bestFit="1" customWidth="1"/>
    <col min="5897" max="5897" width="11.42578125" style="105" bestFit="1" customWidth="1"/>
    <col min="5898" max="5899" width="9.140625" style="105"/>
    <col min="5900" max="5900" width="29.5703125" style="105" customWidth="1"/>
    <col min="5901" max="5901" width="10.140625" style="105" bestFit="1" customWidth="1"/>
    <col min="5902" max="6145" width="9.140625" style="105"/>
    <col min="6146" max="6146" width="38.140625" style="105" customWidth="1"/>
    <col min="6147" max="6147" width="11.85546875" style="105" customWidth="1"/>
    <col min="6148" max="6148" width="10.5703125" style="105" customWidth="1"/>
    <col min="6149" max="6149" width="11" style="105" customWidth="1"/>
    <col min="6150" max="6152" width="10" style="105" bestFit="1" customWidth="1"/>
    <col min="6153" max="6153" width="11.42578125" style="105" bestFit="1" customWidth="1"/>
    <col min="6154" max="6155" width="9.140625" style="105"/>
    <col min="6156" max="6156" width="29.5703125" style="105" customWidth="1"/>
    <col min="6157" max="6157" width="10.140625" style="105" bestFit="1" customWidth="1"/>
    <col min="6158" max="6401" width="9.140625" style="105"/>
    <col min="6402" max="6402" width="38.140625" style="105" customWidth="1"/>
    <col min="6403" max="6403" width="11.85546875" style="105" customWidth="1"/>
    <col min="6404" max="6404" width="10.5703125" style="105" customWidth="1"/>
    <col min="6405" max="6405" width="11" style="105" customWidth="1"/>
    <col min="6406" max="6408" width="10" style="105" bestFit="1" customWidth="1"/>
    <col min="6409" max="6409" width="11.42578125" style="105" bestFit="1" customWidth="1"/>
    <col min="6410" max="6411" width="9.140625" style="105"/>
    <col min="6412" max="6412" width="29.5703125" style="105" customWidth="1"/>
    <col min="6413" max="6413" width="10.140625" style="105" bestFit="1" customWidth="1"/>
    <col min="6414" max="6657" width="9.140625" style="105"/>
    <col min="6658" max="6658" width="38.140625" style="105" customWidth="1"/>
    <col min="6659" max="6659" width="11.85546875" style="105" customWidth="1"/>
    <col min="6660" max="6660" width="10.5703125" style="105" customWidth="1"/>
    <col min="6661" max="6661" width="11" style="105" customWidth="1"/>
    <col min="6662" max="6664" width="10" style="105" bestFit="1" customWidth="1"/>
    <col min="6665" max="6665" width="11.42578125" style="105" bestFit="1" customWidth="1"/>
    <col min="6666" max="6667" width="9.140625" style="105"/>
    <col min="6668" max="6668" width="29.5703125" style="105" customWidth="1"/>
    <col min="6669" max="6669" width="10.140625" style="105" bestFit="1" customWidth="1"/>
    <col min="6670" max="6913" width="9.140625" style="105"/>
    <col min="6914" max="6914" width="38.140625" style="105" customWidth="1"/>
    <col min="6915" max="6915" width="11.85546875" style="105" customWidth="1"/>
    <col min="6916" max="6916" width="10.5703125" style="105" customWidth="1"/>
    <col min="6917" max="6917" width="11" style="105" customWidth="1"/>
    <col min="6918" max="6920" width="10" style="105" bestFit="1" customWidth="1"/>
    <col min="6921" max="6921" width="11.42578125" style="105" bestFit="1" customWidth="1"/>
    <col min="6922" max="6923" width="9.140625" style="105"/>
    <col min="6924" max="6924" width="29.5703125" style="105" customWidth="1"/>
    <col min="6925" max="6925" width="10.140625" style="105" bestFit="1" customWidth="1"/>
    <col min="6926" max="7169" width="9.140625" style="105"/>
    <col min="7170" max="7170" width="38.140625" style="105" customWidth="1"/>
    <col min="7171" max="7171" width="11.85546875" style="105" customWidth="1"/>
    <col min="7172" max="7172" width="10.5703125" style="105" customWidth="1"/>
    <col min="7173" max="7173" width="11" style="105" customWidth="1"/>
    <col min="7174" max="7176" width="10" style="105" bestFit="1" customWidth="1"/>
    <col min="7177" max="7177" width="11.42578125" style="105" bestFit="1" customWidth="1"/>
    <col min="7178" max="7179" width="9.140625" style="105"/>
    <col min="7180" max="7180" width="29.5703125" style="105" customWidth="1"/>
    <col min="7181" max="7181" width="10.140625" style="105" bestFit="1" customWidth="1"/>
    <col min="7182" max="7425" width="9.140625" style="105"/>
    <col min="7426" max="7426" width="38.140625" style="105" customWidth="1"/>
    <col min="7427" max="7427" width="11.85546875" style="105" customWidth="1"/>
    <col min="7428" max="7428" width="10.5703125" style="105" customWidth="1"/>
    <col min="7429" max="7429" width="11" style="105" customWidth="1"/>
    <col min="7430" max="7432" width="10" style="105" bestFit="1" customWidth="1"/>
    <col min="7433" max="7433" width="11.42578125" style="105" bestFit="1" customWidth="1"/>
    <col min="7434" max="7435" width="9.140625" style="105"/>
    <col min="7436" max="7436" width="29.5703125" style="105" customWidth="1"/>
    <col min="7437" max="7437" width="10.140625" style="105" bestFit="1" customWidth="1"/>
    <col min="7438" max="7681" width="9.140625" style="105"/>
    <col min="7682" max="7682" width="38.140625" style="105" customWidth="1"/>
    <col min="7683" max="7683" width="11.85546875" style="105" customWidth="1"/>
    <col min="7684" max="7684" width="10.5703125" style="105" customWidth="1"/>
    <col min="7685" max="7685" width="11" style="105" customWidth="1"/>
    <col min="7686" max="7688" width="10" style="105" bestFit="1" customWidth="1"/>
    <col min="7689" max="7689" width="11.42578125" style="105" bestFit="1" customWidth="1"/>
    <col min="7690" max="7691" width="9.140625" style="105"/>
    <col min="7692" max="7692" width="29.5703125" style="105" customWidth="1"/>
    <col min="7693" max="7693" width="10.140625" style="105" bestFit="1" customWidth="1"/>
    <col min="7694" max="7937" width="9.140625" style="105"/>
    <col min="7938" max="7938" width="38.140625" style="105" customWidth="1"/>
    <col min="7939" max="7939" width="11.85546875" style="105" customWidth="1"/>
    <col min="7940" max="7940" width="10.5703125" style="105" customWidth="1"/>
    <col min="7941" max="7941" width="11" style="105" customWidth="1"/>
    <col min="7942" max="7944" width="10" style="105" bestFit="1" customWidth="1"/>
    <col min="7945" max="7945" width="11.42578125" style="105" bestFit="1" customWidth="1"/>
    <col min="7946" max="7947" width="9.140625" style="105"/>
    <col min="7948" max="7948" width="29.5703125" style="105" customWidth="1"/>
    <col min="7949" max="7949" width="10.140625" style="105" bestFit="1" customWidth="1"/>
    <col min="7950" max="8193" width="9.140625" style="105"/>
    <col min="8194" max="8194" width="38.140625" style="105" customWidth="1"/>
    <col min="8195" max="8195" width="11.85546875" style="105" customWidth="1"/>
    <col min="8196" max="8196" width="10.5703125" style="105" customWidth="1"/>
    <col min="8197" max="8197" width="11" style="105" customWidth="1"/>
    <col min="8198" max="8200" width="10" style="105" bestFit="1" customWidth="1"/>
    <col min="8201" max="8201" width="11.42578125" style="105" bestFit="1" customWidth="1"/>
    <col min="8202" max="8203" width="9.140625" style="105"/>
    <col min="8204" max="8204" width="29.5703125" style="105" customWidth="1"/>
    <col min="8205" max="8205" width="10.140625" style="105" bestFit="1" customWidth="1"/>
    <col min="8206" max="8449" width="9.140625" style="105"/>
    <col min="8450" max="8450" width="38.140625" style="105" customWidth="1"/>
    <col min="8451" max="8451" width="11.85546875" style="105" customWidth="1"/>
    <col min="8452" max="8452" width="10.5703125" style="105" customWidth="1"/>
    <col min="8453" max="8453" width="11" style="105" customWidth="1"/>
    <col min="8454" max="8456" width="10" style="105" bestFit="1" customWidth="1"/>
    <col min="8457" max="8457" width="11.42578125" style="105" bestFit="1" customWidth="1"/>
    <col min="8458" max="8459" width="9.140625" style="105"/>
    <col min="8460" max="8460" width="29.5703125" style="105" customWidth="1"/>
    <col min="8461" max="8461" width="10.140625" style="105" bestFit="1" customWidth="1"/>
    <col min="8462" max="8705" width="9.140625" style="105"/>
    <col min="8706" max="8706" width="38.140625" style="105" customWidth="1"/>
    <col min="8707" max="8707" width="11.85546875" style="105" customWidth="1"/>
    <col min="8708" max="8708" width="10.5703125" style="105" customWidth="1"/>
    <col min="8709" max="8709" width="11" style="105" customWidth="1"/>
    <col min="8710" max="8712" width="10" style="105" bestFit="1" customWidth="1"/>
    <col min="8713" max="8713" width="11.42578125" style="105" bestFit="1" customWidth="1"/>
    <col min="8714" max="8715" width="9.140625" style="105"/>
    <col min="8716" max="8716" width="29.5703125" style="105" customWidth="1"/>
    <col min="8717" max="8717" width="10.140625" style="105" bestFit="1" customWidth="1"/>
    <col min="8718" max="8961" width="9.140625" style="105"/>
    <col min="8962" max="8962" width="38.140625" style="105" customWidth="1"/>
    <col min="8963" max="8963" width="11.85546875" style="105" customWidth="1"/>
    <col min="8964" max="8964" width="10.5703125" style="105" customWidth="1"/>
    <col min="8965" max="8965" width="11" style="105" customWidth="1"/>
    <col min="8966" max="8968" width="10" style="105" bestFit="1" customWidth="1"/>
    <col min="8969" max="8969" width="11.42578125" style="105" bestFit="1" customWidth="1"/>
    <col min="8970" max="8971" width="9.140625" style="105"/>
    <col min="8972" max="8972" width="29.5703125" style="105" customWidth="1"/>
    <col min="8973" max="8973" width="10.140625" style="105" bestFit="1" customWidth="1"/>
    <col min="8974" max="9217" width="9.140625" style="105"/>
    <col min="9218" max="9218" width="38.140625" style="105" customWidth="1"/>
    <col min="9219" max="9219" width="11.85546875" style="105" customWidth="1"/>
    <col min="9220" max="9220" width="10.5703125" style="105" customWidth="1"/>
    <col min="9221" max="9221" width="11" style="105" customWidth="1"/>
    <col min="9222" max="9224" width="10" style="105" bestFit="1" customWidth="1"/>
    <col min="9225" max="9225" width="11.42578125" style="105" bestFit="1" customWidth="1"/>
    <col min="9226" max="9227" width="9.140625" style="105"/>
    <col min="9228" max="9228" width="29.5703125" style="105" customWidth="1"/>
    <col min="9229" max="9229" width="10.140625" style="105" bestFit="1" customWidth="1"/>
    <col min="9230" max="9473" width="9.140625" style="105"/>
    <col min="9474" max="9474" width="38.140625" style="105" customWidth="1"/>
    <col min="9475" max="9475" width="11.85546875" style="105" customWidth="1"/>
    <col min="9476" max="9476" width="10.5703125" style="105" customWidth="1"/>
    <col min="9477" max="9477" width="11" style="105" customWidth="1"/>
    <col min="9478" max="9480" width="10" style="105" bestFit="1" customWidth="1"/>
    <col min="9481" max="9481" width="11.42578125" style="105" bestFit="1" customWidth="1"/>
    <col min="9482" max="9483" width="9.140625" style="105"/>
    <col min="9484" max="9484" width="29.5703125" style="105" customWidth="1"/>
    <col min="9485" max="9485" width="10.140625" style="105" bestFit="1" customWidth="1"/>
    <col min="9486" max="9729" width="9.140625" style="105"/>
    <col min="9730" max="9730" width="38.140625" style="105" customWidth="1"/>
    <col min="9731" max="9731" width="11.85546875" style="105" customWidth="1"/>
    <col min="9732" max="9732" width="10.5703125" style="105" customWidth="1"/>
    <col min="9733" max="9733" width="11" style="105" customWidth="1"/>
    <col min="9734" max="9736" width="10" style="105" bestFit="1" customWidth="1"/>
    <col min="9737" max="9737" width="11.42578125" style="105" bestFit="1" customWidth="1"/>
    <col min="9738" max="9739" width="9.140625" style="105"/>
    <col min="9740" max="9740" width="29.5703125" style="105" customWidth="1"/>
    <col min="9741" max="9741" width="10.140625" style="105" bestFit="1" customWidth="1"/>
    <col min="9742" max="9985" width="9.140625" style="105"/>
    <col min="9986" max="9986" width="38.140625" style="105" customWidth="1"/>
    <col min="9987" max="9987" width="11.85546875" style="105" customWidth="1"/>
    <col min="9988" max="9988" width="10.5703125" style="105" customWidth="1"/>
    <col min="9989" max="9989" width="11" style="105" customWidth="1"/>
    <col min="9990" max="9992" width="10" style="105" bestFit="1" customWidth="1"/>
    <col min="9993" max="9993" width="11.42578125" style="105" bestFit="1" customWidth="1"/>
    <col min="9994" max="9995" width="9.140625" style="105"/>
    <col min="9996" max="9996" width="29.5703125" style="105" customWidth="1"/>
    <col min="9997" max="9997" width="10.140625" style="105" bestFit="1" customWidth="1"/>
    <col min="9998" max="10241" width="9.140625" style="105"/>
    <col min="10242" max="10242" width="38.140625" style="105" customWidth="1"/>
    <col min="10243" max="10243" width="11.85546875" style="105" customWidth="1"/>
    <col min="10244" max="10244" width="10.5703125" style="105" customWidth="1"/>
    <col min="10245" max="10245" width="11" style="105" customWidth="1"/>
    <col min="10246" max="10248" width="10" style="105" bestFit="1" customWidth="1"/>
    <col min="10249" max="10249" width="11.42578125" style="105" bestFit="1" customWidth="1"/>
    <col min="10250" max="10251" width="9.140625" style="105"/>
    <col min="10252" max="10252" width="29.5703125" style="105" customWidth="1"/>
    <col min="10253" max="10253" width="10.140625" style="105" bestFit="1" customWidth="1"/>
    <col min="10254" max="10497" width="9.140625" style="105"/>
    <col min="10498" max="10498" width="38.140625" style="105" customWidth="1"/>
    <col min="10499" max="10499" width="11.85546875" style="105" customWidth="1"/>
    <col min="10500" max="10500" width="10.5703125" style="105" customWidth="1"/>
    <col min="10501" max="10501" width="11" style="105" customWidth="1"/>
    <col min="10502" max="10504" width="10" style="105" bestFit="1" customWidth="1"/>
    <col min="10505" max="10505" width="11.42578125" style="105" bestFit="1" customWidth="1"/>
    <col min="10506" max="10507" width="9.140625" style="105"/>
    <col min="10508" max="10508" width="29.5703125" style="105" customWidth="1"/>
    <col min="10509" max="10509" width="10.140625" style="105" bestFit="1" customWidth="1"/>
    <col min="10510" max="10753" width="9.140625" style="105"/>
    <col min="10754" max="10754" width="38.140625" style="105" customWidth="1"/>
    <col min="10755" max="10755" width="11.85546875" style="105" customWidth="1"/>
    <col min="10756" max="10756" width="10.5703125" style="105" customWidth="1"/>
    <col min="10757" max="10757" width="11" style="105" customWidth="1"/>
    <col min="10758" max="10760" width="10" style="105" bestFit="1" customWidth="1"/>
    <col min="10761" max="10761" width="11.42578125" style="105" bestFit="1" customWidth="1"/>
    <col min="10762" max="10763" width="9.140625" style="105"/>
    <col min="10764" max="10764" width="29.5703125" style="105" customWidth="1"/>
    <col min="10765" max="10765" width="10.140625" style="105" bestFit="1" customWidth="1"/>
    <col min="10766" max="11009" width="9.140625" style="105"/>
    <col min="11010" max="11010" width="38.140625" style="105" customWidth="1"/>
    <col min="11011" max="11011" width="11.85546875" style="105" customWidth="1"/>
    <col min="11012" max="11012" width="10.5703125" style="105" customWidth="1"/>
    <col min="11013" max="11013" width="11" style="105" customWidth="1"/>
    <col min="11014" max="11016" width="10" style="105" bestFit="1" customWidth="1"/>
    <col min="11017" max="11017" width="11.42578125" style="105" bestFit="1" customWidth="1"/>
    <col min="11018" max="11019" width="9.140625" style="105"/>
    <col min="11020" max="11020" width="29.5703125" style="105" customWidth="1"/>
    <col min="11021" max="11021" width="10.140625" style="105" bestFit="1" customWidth="1"/>
    <col min="11022" max="11265" width="9.140625" style="105"/>
    <col min="11266" max="11266" width="38.140625" style="105" customWidth="1"/>
    <col min="11267" max="11267" width="11.85546875" style="105" customWidth="1"/>
    <col min="11268" max="11268" width="10.5703125" style="105" customWidth="1"/>
    <col min="11269" max="11269" width="11" style="105" customWidth="1"/>
    <col min="11270" max="11272" width="10" style="105" bestFit="1" customWidth="1"/>
    <col min="11273" max="11273" width="11.42578125" style="105" bestFit="1" customWidth="1"/>
    <col min="11274" max="11275" width="9.140625" style="105"/>
    <col min="11276" max="11276" width="29.5703125" style="105" customWidth="1"/>
    <col min="11277" max="11277" width="10.140625" style="105" bestFit="1" customWidth="1"/>
    <col min="11278" max="11521" width="9.140625" style="105"/>
    <col min="11522" max="11522" width="38.140625" style="105" customWidth="1"/>
    <col min="11523" max="11523" width="11.85546875" style="105" customWidth="1"/>
    <col min="11524" max="11524" width="10.5703125" style="105" customWidth="1"/>
    <col min="11525" max="11525" width="11" style="105" customWidth="1"/>
    <col min="11526" max="11528" width="10" style="105" bestFit="1" customWidth="1"/>
    <col min="11529" max="11529" width="11.42578125" style="105" bestFit="1" customWidth="1"/>
    <col min="11530" max="11531" width="9.140625" style="105"/>
    <col min="11532" max="11532" width="29.5703125" style="105" customWidth="1"/>
    <col min="11533" max="11533" width="10.140625" style="105" bestFit="1" customWidth="1"/>
    <col min="11534" max="11777" width="9.140625" style="105"/>
    <col min="11778" max="11778" width="38.140625" style="105" customWidth="1"/>
    <col min="11779" max="11779" width="11.85546875" style="105" customWidth="1"/>
    <col min="11780" max="11780" width="10.5703125" style="105" customWidth="1"/>
    <col min="11781" max="11781" width="11" style="105" customWidth="1"/>
    <col min="11782" max="11784" width="10" style="105" bestFit="1" customWidth="1"/>
    <col min="11785" max="11785" width="11.42578125" style="105" bestFit="1" customWidth="1"/>
    <col min="11786" max="11787" width="9.140625" style="105"/>
    <col min="11788" max="11788" width="29.5703125" style="105" customWidth="1"/>
    <col min="11789" max="11789" width="10.140625" style="105" bestFit="1" customWidth="1"/>
    <col min="11790" max="12033" width="9.140625" style="105"/>
    <col min="12034" max="12034" width="38.140625" style="105" customWidth="1"/>
    <col min="12035" max="12035" width="11.85546875" style="105" customWidth="1"/>
    <col min="12036" max="12036" width="10.5703125" style="105" customWidth="1"/>
    <col min="12037" max="12037" width="11" style="105" customWidth="1"/>
    <col min="12038" max="12040" width="10" style="105" bestFit="1" customWidth="1"/>
    <col min="12041" max="12041" width="11.42578125" style="105" bestFit="1" customWidth="1"/>
    <col min="12042" max="12043" width="9.140625" style="105"/>
    <col min="12044" max="12044" width="29.5703125" style="105" customWidth="1"/>
    <col min="12045" max="12045" width="10.140625" style="105" bestFit="1" customWidth="1"/>
    <col min="12046" max="12289" width="9.140625" style="105"/>
    <col min="12290" max="12290" width="38.140625" style="105" customWidth="1"/>
    <col min="12291" max="12291" width="11.85546875" style="105" customWidth="1"/>
    <col min="12292" max="12292" width="10.5703125" style="105" customWidth="1"/>
    <col min="12293" max="12293" width="11" style="105" customWidth="1"/>
    <col min="12294" max="12296" width="10" style="105" bestFit="1" customWidth="1"/>
    <col min="12297" max="12297" width="11.42578125" style="105" bestFit="1" customWidth="1"/>
    <col min="12298" max="12299" width="9.140625" style="105"/>
    <col min="12300" max="12300" width="29.5703125" style="105" customWidth="1"/>
    <col min="12301" max="12301" width="10.140625" style="105" bestFit="1" customWidth="1"/>
    <col min="12302" max="12545" width="9.140625" style="105"/>
    <col min="12546" max="12546" width="38.140625" style="105" customWidth="1"/>
    <col min="12547" max="12547" width="11.85546875" style="105" customWidth="1"/>
    <col min="12548" max="12548" width="10.5703125" style="105" customWidth="1"/>
    <col min="12549" max="12549" width="11" style="105" customWidth="1"/>
    <col min="12550" max="12552" width="10" style="105" bestFit="1" customWidth="1"/>
    <col min="12553" max="12553" width="11.42578125" style="105" bestFit="1" customWidth="1"/>
    <col min="12554" max="12555" width="9.140625" style="105"/>
    <col min="12556" max="12556" width="29.5703125" style="105" customWidth="1"/>
    <col min="12557" max="12557" width="10.140625" style="105" bestFit="1" customWidth="1"/>
    <col min="12558" max="12801" width="9.140625" style="105"/>
    <col min="12802" max="12802" width="38.140625" style="105" customWidth="1"/>
    <col min="12803" max="12803" width="11.85546875" style="105" customWidth="1"/>
    <col min="12804" max="12804" width="10.5703125" style="105" customWidth="1"/>
    <col min="12805" max="12805" width="11" style="105" customWidth="1"/>
    <col min="12806" max="12808" width="10" style="105" bestFit="1" customWidth="1"/>
    <col min="12809" max="12809" width="11.42578125" style="105" bestFit="1" customWidth="1"/>
    <col min="12810" max="12811" width="9.140625" style="105"/>
    <col min="12812" max="12812" width="29.5703125" style="105" customWidth="1"/>
    <col min="12813" max="12813" width="10.140625" style="105" bestFit="1" customWidth="1"/>
    <col min="12814" max="13057" width="9.140625" style="105"/>
    <col min="13058" max="13058" width="38.140625" style="105" customWidth="1"/>
    <col min="13059" max="13059" width="11.85546875" style="105" customWidth="1"/>
    <col min="13060" max="13060" width="10.5703125" style="105" customWidth="1"/>
    <col min="13061" max="13061" width="11" style="105" customWidth="1"/>
    <col min="13062" max="13064" width="10" style="105" bestFit="1" customWidth="1"/>
    <col min="13065" max="13065" width="11.42578125" style="105" bestFit="1" customWidth="1"/>
    <col min="13066" max="13067" width="9.140625" style="105"/>
    <col min="13068" max="13068" width="29.5703125" style="105" customWidth="1"/>
    <col min="13069" max="13069" width="10.140625" style="105" bestFit="1" customWidth="1"/>
    <col min="13070" max="13313" width="9.140625" style="105"/>
    <col min="13314" max="13314" width="38.140625" style="105" customWidth="1"/>
    <col min="13315" max="13315" width="11.85546875" style="105" customWidth="1"/>
    <col min="13316" max="13316" width="10.5703125" style="105" customWidth="1"/>
    <col min="13317" max="13317" width="11" style="105" customWidth="1"/>
    <col min="13318" max="13320" width="10" style="105" bestFit="1" customWidth="1"/>
    <col min="13321" max="13321" width="11.42578125" style="105" bestFit="1" customWidth="1"/>
    <col min="13322" max="13323" width="9.140625" style="105"/>
    <col min="13324" max="13324" width="29.5703125" style="105" customWidth="1"/>
    <col min="13325" max="13325" width="10.140625" style="105" bestFit="1" customWidth="1"/>
    <col min="13326" max="13569" width="9.140625" style="105"/>
    <col min="13570" max="13570" width="38.140625" style="105" customWidth="1"/>
    <col min="13571" max="13571" width="11.85546875" style="105" customWidth="1"/>
    <col min="13572" max="13572" width="10.5703125" style="105" customWidth="1"/>
    <col min="13573" max="13573" width="11" style="105" customWidth="1"/>
    <col min="13574" max="13576" width="10" style="105" bestFit="1" customWidth="1"/>
    <col min="13577" max="13577" width="11.42578125" style="105" bestFit="1" customWidth="1"/>
    <col min="13578" max="13579" width="9.140625" style="105"/>
    <col min="13580" max="13580" width="29.5703125" style="105" customWidth="1"/>
    <col min="13581" max="13581" width="10.140625" style="105" bestFit="1" customWidth="1"/>
    <col min="13582" max="13825" width="9.140625" style="105"/>
    <col min="13826" max="13826" width="38.140625" style="105" customWidth="1"/>
    <col min="13827" max="13827" width="11.85546875" style="105" customWidth="1"/>
    <col min="13828" max="13828" width="10.5703125" style="105" customWidth="1"/>
    <col min="13829" max="13829" width="11" style="105" customWidth="1"/>
    <col min="13830" max="13832" width="10" style="105" bestFit="1" customWidth="1"/>
    <col min="13833" max="13833" width="11.42578125" style="105" bestFit="1" customWidth="1"/>
    <col min="13834" max="13835" width="9.140625" style="105"/>
    <col min="13836" max="13836" width="29.5703125" style="105" customWidth="1"/>
    <col min="13837" max="13837" width="10.140625" style="105" bestFit="1" customWidth="1"/>
    <col min="13838" max="14081" width="9.140625" style="105"/>
    <col min="14082" max="14082" width="38.140625" style="105" customWidth="1"/>
    <col min="14083" max="14083" width="11.85546875" style="105" customWidth="1"/>
    <col min="14084" max="14084" width="10.5703125" style="105" customWidth="1"/>
    <col min="14085" max="14085" width="11" style="105" customWidth="1"/>
    <col min="14086" max="14088" width="10" style="105" bestFit="1" customWidth="1"/>
    <col min="14089" max="14089" width="11.42578125" style="105" bestFit="1" customWidth="1"/>
    <col min="14090" max="14091" width="9.140625" style="105"/>
    <col min="14092" max="14092" width="29.5703125" style="105" customWidth="1"/>
    <col min="14093" max="14093" width="10.140625" style="105" bestFit="1" customWidth="1"/>
    <col min="14094" max="14337" width="9.140625" style="105"/>
    <col min="14338" max="14338" width="38.140625" style="105" customWidth="1"/>
    <col min="14339" max="14339" width="11.85546875" style="105" customWidth="1"/>
    <col min="14340" max="14340" width="10.5703125" style="105" customWidth="1"/>
    <col min="14341" max="14341" width="11" style="105" customWidth="1"/>
    <col min="14342" max="14344" width="10" style="105" bestFit="1" customWidth="1"/>
    <col min="14345" max="14345" width="11.42578125" style="105" bestFit="1" customWidth="1"/>
    <col min="14346" max="14347" width="9.140625" style="105"/>
    <col min="14348" max="14348" width="29.5703125" style="105" customWidth="1"/>
    <col min="14349" max="14349" width="10.140625" style="105" bestFit="1" customWidth="1"/>
    <col min="14350" max="14593" width="9.140625" style="105"/>
    <col min="14594" max="14594" width="38.140625" style="105" customWidth="1"/>
    <col min="14595" max="14595" width="11.85546875" style="105" customWidth="1"/>
    <col min="14596" max="14596" width="10.5703125" style="105" customWidth="1"/>
    <col min="14597" max="14597" width="11" style="105" customWidth="1"/>
    <col min="14598" max="14600" width="10" style="105" bestFit="1" customWidth="1"/>
    <col min="14601" max="14601" width="11.42578125" style="105" bestFit="1" customWidth="1"/>
    <col min="14602" max="14603" width="9.140625" style="105"/>
    <col min="14604" max="14604" width="29.5703125" style="105" customWidth="1"/>
    <col min="14605" max="14605" width="10.140625" style="105" bestFit="1" customWidth="1"/>
    <col min="14606" max="14849" width="9.140625" style="105"/>
    <col min="14850" max="14850" width="38.140625" style="105" customWidth="1"/>
    <col min="14851" max="14851" width="11.85546875" style="105" customWidth="1"/>
    <col min="14852" max="14852" width="10.5703125" style="105" customWidth="1"/>
    <col min="14853" max="14853" width="11" style="105" customWidth="1"/>
    <col min="14854" max="14856" width="10" style="105" bestFit="1" customWidth="1"/>
    <col min="14857" max="14857" width="11.42578125" style="105" bestFit="1" customWidth="1"/>
    <col min="14858" max="14859" width="9.140625" style="105"/>
    <col min="14860" max="14860" width="29.5703125" style="105" customWidth="1"/>
    <col min="14861" max="14861" width="10.140625" style="105" bestFit="1" customWidth="1"/>
    <col min="14862" max="15105" width="9.140625" style="105"/>
    <col min="15106" max="15106" width="38.140625" style="105" customWidth="1"/>
    <col min="15107" max="15107" width="11.85546875" style="105" customWidth="1"/>
    <col min="15108" max="15108" width="10.5703125" style="105" customWidth="1"/>
    <col min="15109" max="15109" width="11" style="105" customWidth="1"/>
    <col min="15110" max="15112" width="10" style="105" bestFit="1" customWidth="1"/>
    <col min="15113" max="15113" width="11.42578125" style="105" bestFit="1" customWidth="1"/>
    <col min="15114" max="15115" width="9.140625" style="105"/>
    <col min="15116" max="15116" width="29.5703125" style="105" customWidth="1"/>
    <col min="15117" max="15117" width="10.140625" style="105" bestFit="1" customWidth="1"/>
    <col min="15118" max="15361" width="9.140625" style="105"/>
    <col min="15362" max="15362" width="38.140625" style="105" customWidth="1"/>
    <col min="15363" max="15363" width="11.85546875" style="105" customWidth="1"/>
    <col min="15364" max="15364" width="10.5703125" style="105" customWidth="1"/>
    <col min="15365" max="15365" width="11" style="105" customWidth="1"/>
    <col min="15366" max="15368" width="10" style="105" bestFit="1" customWidth="1"/>
    <col min="15369" max="15369" width="11.42578125" style="105" bestFit="1" customWidth="1"/>
    <col min="15370" max="15371" width="9.140625" style="105"/>
    <col min="15372" max="15372" width="29.5703125" style="105" customWidth="1"/>
    <col min="15373" max="15373" width="10.140625" style="105" bestFit="1" customWidth="1"/>
    <col min="15374" max="15617" width="9.140625" style="105"/>
    <col min="15618" max="15618" width="38.140625" style="105" customWidth="1"/>
    <col min="15619" max="15619" width="11.85546875" style="105" customWidth="1"/>
    <col min="15620" max="15620" width="10.5703125" style="105" customWidth="1"/>
    <col min="15621" max="15621" width="11" style="105" customWidth="1"/>
    <col min="15622" max="15624" width="10" style="105" bestFit="1" customWidth="1"/>
    <col min="15625" max="15625" width="11.42578125" style="105" bestFit="1" customWidth="1"/>
    <col min="15626" max="15627" width="9.140625" style="105"/>
    <col min="15628" max="15628" width="29.5703125" style="105" customWidth="1"/>
    <col min="15629" max="15629" width="10.140625" style="105" bestFit="1" customWidth="1"/>
    <col min="15630" max="15873" width="9.140625" style="105"/>
    <col min="15874" max="15874" width="38.140625" style="105" customWidth="1"/>
    <col min="15875" max="15875" width="11.85546875" style="105" customWidth="1"/>
    <col min="15876" max="15876" width="10.5703125" style="105" customWidth="1"/>
    <col min="15877" max="15877" width="11" style="105" customWidth="1"/>
    <col min="15878" max="15880" width="10" style="105" bestFit="1" customWidth="1"/>
    <col min="15881" max="15881" width="11.42578125" style="105" bestFit="1" customWidth="1"/>
    <col min="15882" max="15883" width="9.140625" style="105"/>
    <col min="15884" max="15884" width="29.5703125" style="105" customWidth="1"/>
    <col min="15885" max="15885" width="10.140625" style="105" bestFit="1" customWidth="1"/>
    <col min="15886" max="16129" width="9.140625" style="105"/>
    <col min="16130" max="16130" width="38.140625" style="105" customWidth="1"/>
    <col min="16131" max="16131" width="11.85546875" style="105" customWidth="1"/>
    <col min="16132" max="16132" width="10.5703125" style="105" customWidth="1"/>
    <col min="16133" max="16133" width="11" style="105" customWidth="1"/>
    <col min="16134" max="16136" width="10" style="105" bestFit="1" customWidth="1"/>
    <col min="16137" max="16137" width="11.42578125" style="105" bestFit="1" customWidth="1"/>
    <col min="16138" max="16139" width="9.140625" style="105"/>
    <col min="16140" max="16140" width="29.5703125" style="105" customWidth="1"/>
    <col min="16141" max="16141" width="10.140625" style="105" bestFit="1" customWidth="1"/>
    <col min="16142" max="16384" width="9.140625" style="105"/>
  </cols>
  <sheetData>
    <row r="1" spans="1:18" x14ac:dyDescent="0.25">
      <c r="A1" s="104"/>
      <c r="I1" s="107" t="s">
        <v>59</v>
      </c>
      <c r="J1" s="104"/>
      <c r="K1" s="104"/>
    </row>
    <row r="2" spans="1:18" ht="33" customHeight="1" x14ac:dyDescent="0.25">
      <c r="A2" s="321" t="s">
        <v>648</v>
      </c>
      <c r="B2" s="321"/>
      <c r="C2" s="321"/>
      <c r="D2" s="321"/>
      <c r="E2" s="321"/>
      <c r="F2" s="321"/>
      <c r="G2" s="321"/>
      <c r="H2" s="321"/>
      <c r="I2" s="321"/>
      <c r="J2" s="321"/>
      <c r="K2" s="321"/>
    </row>
    <row r="3" spans="1:18" ht="15.75" customHeight="1" x14ac:dyDescent="0.25">
      <c r="A3" s="322" t="s">
        <v>626</v>
      </c>
      <c r="B3" s="322"/>
      <c r="C3" s="322"/>
      <c r="D3" s="322"/>
      <c r="E3" s="322"/>
      <c r="F3" s="322"/>
      <c r="G3" s="322"/>
      <c r="H3" s="322"/>
      <c r="I3" s="322"/>
      <c r="J3" s="322"/>
      <c r="K3" s="322"/>
    </row>
    <row r="4" spans="1:18" x14ac:dyDescent="0.25">
      <c r="B4" s="171"/>
      <c r="C4" s="106"/>
      <c r="F4" s="106"/>
      <c r="J4" s="323" t="s">
        <v>252</v>
      </c>
      <c r="K4" s="323"/>
    </row>
    <row r="5" spans="1:18" x14ac:dyDescent="0.25">
      <c r="A5" s="324" t="s">
        <v>2</v>
      </c>
      <c r="B5" s="324" t="s">
        <v>546</v>
      </c>
      <c r="C5" s="324" t="s">
        <v>150</v>
      </c>
      <c r="D5" s="324" t="s">
        <v>197</v>
      </c>
      <c r="E5" s="324"/>
      <c r="F5" s="324" t="s">
        <v>108</v>
      </c>
      <c r="G5" s="324" t="s">
        <v>197</v>
      </c>
      <c r="H5" s="324"/>
      <c r="I5" s="324" t="s">
        <v>109</v>
      </c>
      <c r="J5" s="324"/>
      <c r="K5" s="324"/>
    </row>
    <row r="6" spans="1:18" ht="52.9" customHeight="1" x14ac:dyDescent="0.25">
      <c r="A6" s="324"/>
      <c r="B6" s="324"/>
      <c r="C6" s="324"/>
      <c r="D6" s="53" t="s">
        <v>386</v>
      </c>
      <c r="E6" s="53" t="s">
        <v>387</v>
      </c>
      <c r="F6" s="324"/>
      <c r="G6" s="53" t="s">
        <v>386</v>
      </c>
      <c r="H6" s="53" t="s">
        <v>387</v>
      </c>
      <c r="I6" s="53" t="s">
        <v>200</v>
      </c>
      <c r="J6" s="53" t="s">
        <v>198</v>
      </c>
      <c r="K6" s="53" t="s">
        <v>199</v>
      </c>
    </row>
    <row r="7" spans="1:18" x14ac:dyDescent="0.25">
      <c r="A7" s="108" t="s">
        <v>7</v>
      </c>
      <c r="B7" s="108" t="s">
        <v>8</v>
      </c>
      <c r="C7" s="108" t="s">
        <v>60</v>
      </c>
      <c r="D7" s="108">
        <v>2</v>
      </c>
      <c r="E7" s="108">
        <v>3</v>
      </c>
      <c r="F7" s="108" t="s">
        <v>61</v>
      </c>
      <c r="G7" s="108">
        <v>5</v>
      </c>
      <c r="H7" s="108">
        <v>6</v>
      </c>
      <c r="I7" s="108" t="s">
        <v>62</v>
      </c>
      <c r="J7" s="108" t="s">
        <v>63</v>
      </c>
      <c r="K7" s="108" t="s">
        <v>64</v>
      </c>
      <c r="L7" s="173"/>
      <c r="M7" s="173"/>
      <c r="N7" s="173"/>
      <c r="O7" s="173"/>
      <c r="P7" s="173"/>
      <c r="Q7" s="173"/>
    </row>
    <row r="8" spans="1:18" ht="19.149999999999999" customHeight="1" x14ac:dyDescent="0.25">
      <c r="A8" s="198"/>
      <c r="B8" s="199" t="s">
        <v>20</v>
      </c>
      <c r="C8" s="226">
        <f>D8+E8</f>
        <v>10886896.602868229</v>
      </c>
      <c r="D8" s="226">
        <f>D9+D32+D65</f>
        <v>6680414.0028682286</v>
      </c>
      <c r="E8" s="226">
        <f>E9+E32+E65</f>
        <v>4206482.5999999996</v>
      </c>
      <c r="F8" s="226">
        <f>'[1]Bieu 51'!E7</f>
        <v>13280792.109786998</v>
      </c>
      <c r="G8" s="226">
        <f>G9+G32+G65+G66</f>
        <v>6467183.3752800012</v>
      </c>
      <c r="H8" s="226">
        <f>F8-G8</f>
        <v>6813608.7345069973</v>
      </c>
      <c r="I8" s="200">
        <v>121.98877783305191</v>
      </c>
      <c r="J8" s="200">
        <v>96.808122558022944</v>
      </c>
      <c r="K8" s="200">
        <v>161.97876901967925</v>
      </c>
      <c r="L8" s="172"/>
      <c r="M8" s="172"/>
      <c r="N8" s="172"/>
      <c r="O8" s="172"/>
      <c r="P8" s="172"/>
      <c r="Q8" s="172"/>
      <c r="R8" s="106"/>
    </row>
    <row r="9" spans="1:18" ht="31.5" x14ac:dyDescent="0.25">
      <c r="A9" s="85" t="s">
        <v>7</v>
      </c>
      <c r="B9" s="86" t="s">
        <v>240</v>
      </c>
      <c r="C9" s="227">
        <f t="shared" ref="C9:C10" si="0">D9+E9</f>
        <v>7738172.6028682282</v>
      </c>
      <c r="D9" s="215">
        <f>D10+D31</f>
        <v>3532642.0028682286</v>
      </c>
      <c r="E9" s="215">
        <f>E10+E31</f>
        <v>4205530.5999999996</v>
      </c>
      <c r="F9" s="215">
        <f>F10+F31</f>
        <v>6393264.4224129999</v>
      </c>
      <c r="G9" s="215">
        <f>G10+G31</f>
        <v>2352160.0551090003</v>
      </c>
      <c r="H9" s="215">
        <f>H10+H31</f>
        <v>4041104.1673039994</v>
      </c>
      <c r="I9" s="62">
        <v>82.61982189494293</v>
      </c>
      <c r="J9" s="62">
        <v>66.58359531475962</v>
      </c>
      <c r="K9" s="62">
        <v>96.090233353765157</v>
      </c>
      <c r="L9" s="172"/>
      <c r="M9" s="172"/>
      <c r="N9" s="172"/>
      <c r="O9" s="172"/>
      <c r="P9" s="172"/>
      <c r="Q9" s="172"/>
    </row>
    <row r="10" spans="1:18" ht="15.75" x14ac:dyDescent="0.25">
      <c r="A10" s="85" t="s">
        <v>241</v>
      </c>
      <c r="B10" s="86" t="s">
        <v>65</v>
      </c>
      <c r="C10" s="227">
        <f t="shared" si="0"/>
        <v>7660972.6028682282</v>
      </c>
      <c r="D10" s="215">
        <f>D11+D21+D25+D26+D27+D28+D29</f>
        <v>3455442.0028682286</v>
      </c>
      <c r="E10" s="215">
        <f>E11+E21+E25+E26+E27+E28+E29</f>
        <v>4205530.5999999996</v>
      </c>
      <c r="F10" s="215">
        <f>F11+F21+F25+F26+F27+F29+F28+F30+0.2</f>
        <v>6381057.9592829999</v>
      </c>
      <c r="G10" s="215">
        <f>G11+G21+G25+G26+G27+G29+G28+G30</f>
        <v>2339953.5919790003</v>
      </c>
      <c r="H10" s="215">
        <f>H11+H21+H25+H26+H27+H29</f>
        <v>4041104.1673039994</v>
      </c>
      <c r="I10" s="62">
        <v>83.293052854594009</v>
      </c>
      <c r="J10" s="62">
        <v>67.717924075608721</v>
      </c>
      <c r="K10" s="62">
        <v>96.090233353765157</v>
      </c>
      <c r="L10" s="172"/>
      <c r="M10" s="172"/>
      <c r="N10" s="172"/>
      <c r="O10" s="172"/>
      <c r="P10" s="172"/>
      <c r="Q10" s="172"/>
    </row>
    <row r="11" spans="1:18" ht="15.75" x14ac:dyDescent="0.25">
      <c r="A11" s="85" t="s">
        <v>39</v>
      </c>
      <c r="B11" s="86" t="s">
        <v>21</v>
      </c>
      <c r="C11" s="227">
        <f>D11+E11</f>
        <v>1009036.6</v>
      </c>
      <c r="D11" s="227">
        <f>D12+D19+D20</f>
        <v>369061</v>
      </c>
      <c r="E11" s="227">
        <f>E12+E19+E20</f>
        <v>639975.6</v>
      </c>
      <c r="F11" s="215">
        <f>'[1]Bieu 51'!E10</f>
        <v>934996.24130999972</v>
      </c>
      <c r="G11" s="228">
        <f>G12+G19+G20</f>
        <v>435977.54930900031</v>
      </c>
      <c r="H11" s="228">
        <f>H12+H19+H20</f>
        <v>499018.69200099941</v>
      </c>
      <c r="I11" s="62">
        <v>92.662272241660986</v>
      </c>
      <c r="J11" s="62">
        <v>118.13156884878117</v>
      </c>
      <c r="K11" s="62">
        <v>77.974643408436108</v>
      </c>
      <c r="L11" s="172"/>
      <c r="M11" s="172"/>
      <c r="N11" s="172"/>
      <c r="O11" s="172"/>
      <c r="P11" s="172"/>
      <c r="Q11" s="172"/>
    </row>
    <row r="12" spans="1:18" ht="15.75" x14ac:dyDescent="0.25">
      <c r="A12" s="125">
        <v>1</v>
      </c>
      <c r="B12" s="33" t="s">
        <v>433</v>
      </c>
      <c r="C12" s="229">
        <f>D12+E12</f>
        <v>1009036.6</v>
      </c>
      <c r="D12" s="230">
        <v>369061</v>
      </c>
      <c r="E12" s="230">
        <v>639975.6</v>
      </c>
      <c r="F12" s="231">
        <f>'[1]Bieu 51'!E11</f>
        <v>929539.24130999972</v>
      </c>
      <c r="G12" s="74">
        <f>'[1]bieu 52'!D13-G38-'[1]Bieu 61'!AB13</f>
        <v>430520.54930900031</v>
      </c>
      <c r="H12" s="74">
        <f>F12-G12</f>
        <v>499018.69200099941</v>
      </c>
      <c r="I12" s="69">
        <v>92.121459351424889</v>
      </c>
      <c r="J12" s="69">
        <v>116.65295149284273</v>
      </c>
      <c r="K12" s="69">
        <v>77.974643408436108</v>
      </c>
      <c r="L12" s="172"/>
      <c r="M12" s="172"/>
      <c r="N12" s="172"/>
      <c r="O12" s="172"/>
      <c r="P12" s="172"/>
      <c r="Q12" s="172"/>
    </row>
    <row r="13" spans="1:18" s="160" customFormat="1" ht="15.75" hidden="1" x14ac:dyDescent="0.25">
      <c r="A13" s="232"/>
      <c r="B13" s="233" t="s">
        <v>434</v>
      </c>
      <c r="C13" s="234">
        <f>D13+E13</f>
        <v>0</v>
      </c>
      <c r="D13" s="235"/>
      <c r="E13" s="235"/>
      <c r="F13" s="232"/>
      <c r="G13" s="236"/>
      <c r="H13" s="236"/>
      <c r="I13" s="237">
        <v>0</v>
      </c>
      <c r="J13" s="237">
        <v>0</v>
      </c>
      <c r="K13" s="237">
        <v>0</v>
      </c>
      <c r="L13" s="172"/>
      <c r="M13" s="172"/>
      <c r="N13" s="172"/>
      <c r="O13" s="172"/>
      <c r="P13" s="172"/>
      <c r="Q13" s="172"/>
    </row>
    <row r="14" spans="1:18" s="160" customFormat="1" ht="15.75" hidden="1" x14ac:dyDescent="0.25">
      <c r="A14" s="232" t="s">
        <v>12</v>
      </c>
      <c r="B14" s="233" t="s">
        <v>67</v>
      </c>
      <c r="C14" s="234">
        <f t="shared" ref="C14:C18" si="1">D14+E14</f>
        <v>0</v>
      </c>
      <c r="D14" s="235"/>
      <c r="E14" s="235"/>
      <c r="F14" s="238">
        <f>'[1]Bieu 51'!E13</f>
        <v>0</v>
      </c>
      <c r="G14" s="236"/>
      <c r="H14" s="236"/>
      <c r="I14" s="237">
        <v>0</v>
      </c>
      <c r="J14" s="237">
        <v>0</v>
      </c>
      <c r="K14" s="237">
        <v>0</v>
      </c>
      <c r="L14" s="172"/>
      <c r="M14" s="172"/>
      <c r="N14" s="172"/>
      <c r="O14" s="172"/>
      <c r="P14" s="172"/>
      <c r="Q14" s="172"/>
    </row>
    <row r="15" spans="1:18" s="160" customFormat="1" ht="15.75" hidden="1" x14ac:dyDescent="0.25">
      <c r="A15" s="232" t="s">
        <v>12</v>
      </c>
      <c r="B15" s="233" t="s">
        <v>435</v>
      </c>
      <c r="C15" s="234">
        <f t="shared" si="1"/>
        <v>0</v>
      </c>
      <c r="D15" s="235"/>
      <c r="E15" s="235">
        <v>0</v>
      </c>
      <c r="F15" s="238">
        <f>'[1]Bieu 51'!E14</f>
        <v>0</v>
      </c>
      <c r="G15" s="236"/>
      <c r="H15" s="236"/>
      <c r="I15" s="237">
        <v>0</v>
      </c>
      <c r="J15" s="237">
        <v>0</v>
      </c>
      <c r="K15" s="237">
        <v>0</v>
      </c>
      <c r="L15" s="172"/>
      <c r="M15" s="172"/>
      <c r="N15" s="172"/>
      <c r="O15" s="172"/>
      <c r="P15" s="172"/>
      <c r="Q15" s="172"/>
    </row>
    <row r="16" spans="1:18" s="160" customFormat="1" ht="15.75" x14ac:dyDescent="0.25">
      <c r="A16" s="232"/>
      <c r="B16" s="233" t="s">
        <v>201</v>
      </c>
      <c r="C16" s="234">
        <f t="shared" si="1"/>
        <v>0</v>
      </c>
      <c r="D16" s="235"/>
      <c r="E16" s="235"/>
      <c r="F16" s="232"/>
      <c r="G16" s="236"/>
      <c r="H16" s="236"/>
      <c r="I16" s="237">
        <v>0</v>
      </c>
      <c r="J16" s="237">
        <v>0</v>
      </c>
      <c r="K16" s="237">
        <v>0</v>
      </c>
      <c r="L16" s="172"/>
      <c r="M16" s="172"/>
      <c r="N16" s="172"/>
      <c r="O16" s="172"/>
      <c r="P16" s="172"/>
      <c r="Q16" s="172"/>
    </row>
    <row r="17" spans="1:17" s="160" customFormat="1" ht="23.25" customHeight="1" x14ac:dyDescent="0.25">
      <c r="A17" s="232" t="s">
        <v>12</v>
      </c>
      <c r="B17" s="233" t="s">
        <v>69</v>
      </c>
      <c r="C17" s="234">
        <f t="shared" si="1"/>
        <v>399999.6</v>
      </c>
      <c r="D17" s="235">
        <v>28000</v>
      </c>
      <c r="E17" s="235">
        <v>371999.6</v>
      </c>
      <c r="F17" s="238">
        <f>'[1]Bieu 51'!E16</f>
        <v>0</v>
      </c>
      <c r="G17" s="236"/>
      <c r="H17" s="236">
        <f>F17-G17</f>
        <v>0</v>
      </c>
      <c r="I17" s="237">
        <v>0</v>
      </c>
      <c r="J17" s="237">
        <v>0</v>
      </c>
      <c r="K17" s="237">
        <v>0</v>
      </c>
      <c r="L17" s="172"/>
      <c r="M17" s="172"/>
      <c r="N17" s="172"/>
      <c r="O17" s="172"/>
      <c r="P17" s="172"/>
      <c r="Q17" s="172"/>
    </row>
    <row r="18" spans="1:17" s="160" customFormat="1" ht="24.75" customHeight="1" x14ac:dyDescent="0.25">
      <c r="A18" s="232" t="s">
        <v>12</v>
      </c>
      <c r="B18" s="233" t="s">
        <v>70</v>
      </c>
      <c r="C18" s="234">
        <f t="shared" si="1"/>
        <v>77000</v>
      </c>
      <c r="D18" s="235">
        <v>68705</v>
      </c>
      <c r="E18" s="235">
        <v>8295</v>
      </c>
      <c r="F18" s="238">
        <f>'[1]Bieu 51'!E17</f>
        <v>92630.203923000008</v>
      </c>
      <c r="G18" s="236">
        <v>92630.203923000008</v>
      </c>
      <c r="H18" s="236">
        <f>F18-G18</f>
        <v>0</v>
      </c>
      <c r="I18" s="237">
        <v>120.29896613376624</v>
      </c>
      <c r="J18" s="237">
        <v>134.82308991048689</v>
      </c>
      <c r="K18" s="237">
        <v>0</v>
      </c>
      <c r="L18" s="172"/>
      <c r="M18" s="172"/>
      <c r="N18" s="172"/>
      <c r="O18" s="172"/>
      <c r="P18" s="172"/>
      <c r="Q18" s="172"/>
    </row>
    <row r="19" spans="1:17" ht="67.5" customHeight="1" x14ac:dyDescent="0.25">
      <c r="A19" s="125">
        <v>2</v>
      </c>
      <c r="B19" s="33" t="s">
        <v>202</v>
      </c>
      <c r="C19" s="229"/>
      <c r="D19" s="229"/>
      <c r="E19" s="230">
        <f t="shared" ref="E19:E20" si="2">C19-D19</f>
        <v>0</v>
      </c>
      <c r="F19" s="229">
        <f>G19+H19</f>
        <v>5457</v>
      </c>
      <c r="G19" s="229">
        <v>5457</v>
      </c>
      <c r="H19" s="229"/>
      <c r="I19" s="69">
        <v>0</v>
      </c>
      <c r="J19" s="69">
        <v>0</v>
      </c>
      <c r="K19" s="69">
        <v>0</v>
      </c>
      <c r="L19" s="172"/>
      <c r="M19" s="172"/>
      <c r="N19" s="172"/>
      <c r="O19" s="172"/>
      <c r="P19" s="172"/>
      <c r="Q19" s="172"/>
    </row>
    <row r="20" spans="1:17" ht="15.75" x14ac:dyDescent="0.25">
      <c r="A20" s="125">
        <v>3</v>
      </c>
      <c r="B20" s="33" t="s">
        <v>71</v>
      </c>
      <c r="C20" s="229"/>
      <c r="D20" s="229">
        <v>0</v>
      </c>
      <c r="E20" s="230">
        <f t="shared" si="2"/>
        <v>0</v>
      </c>
      <c r="F20" s="229">
        <f>G20+H20</f>
        <v>0</v>
      </c>
      <c r="G20" s="229"/>
      <c r="H20" s="229"/>
      <c r="I20" s="69">
        <v>0</v>
      </c>
      <c r="J20" s="69">
        <v>0</v>
      </c>
      <c r="K20" s="69">
        <v>0</v>
      </c>
      <c r="L20" s="172"/>
      <c r="M20" s="172"/>
      <c r="N20" s="172"/>
      <c r="O20" s="172"/>
      <c r="P20" s="172"/>
      <c r="Q20" s="172"/>
    </row>
    <row r="21" spans="1:17" s="104" customFormat="1" ht="15.75" x14ac:dyDescent="0.25">
      <c r="A21" s="85" t="s">
        <v>25</v>
      </c>
      <c r="B21" s="86" t="s">
        <v>22</v>
      </c>
      <c r="C21" s="227">
        <f>D21+E21</f>
        <v>5267711</v>
      </c>
      <c r="D21" s="227">
        <v>1830275</v>
      </c>
      <c r="E21" s="227">
        <v>3437436</v>
      </c>
      <c r="F21" s="227">
        <f>'[1]Bieu 51'!E20</f>
        <v>5302320.2779660001</v>
      </c>
      <c r="G21" s="227">
        <f>'[1]bieu 52'!D29-G53-'[1]Bieu 61'!AC13</f>
        <v>1760234.8026630003</v>
      </c>
      <c r="H21" s="227">
        <f>F21-G21</f>
        <v>3542085.4753029998</v>
      </c>
      <c r="I21" s="62">
        <v>100.65700791038081</v>
      </c>
      <c r="J21" s="62">
        <v>96.173241871467425</v>
      </c>
      <c r="K21" s="62">
        <v>103.04440505373773</v>
      </c>
      <c r="L21" s="172"/>
      <c r="M21" s="172"/>
      <c r="N21" s="172"/>
      <c r="O21" s="172"/>
      <c r="P21" s="172"/>
      <c r="Q21" s="172"/>
    </row>
    <row r="22" spans="1:17" ht="15.75" x14ac:dyDescent="0.25">
      <c r="A22" s="125"/>
      <c r="B22" s="233" t="s">
        <v>72</v>
      </c>
      <c r="C22" s="227"/>
      <c r="D22" s="229"/>
      <c r="E22" s="229"/>
      <c r="F22" s="229"/>
      <c r="G22" s="229"/>
      <c r="H22" s="229"/>
      <c r="I22" s="69">
        <v>0</v>
      </c>
      <c r="J22" s="69">
        <v>0</v>
      </c>
      <c r="K22" s="69">
        <v>0</v>
      </c>
      <c r="L22" s="172"/>
      <c r="M22" s="172"/>
      <c r="N22" s="172"/>
      <c r="O22" s="172"/>
      <c r="P22" s="172"/>
      <c r="Q22" s="172"/>
    </row>
    <row r="23" spans="1:17" ht="15.75" x14ac:dyDescent="0.25">
      <c r="A23" s="232">
        <v>1</v>
      </c>
      <c r="B23" s="233" t="s">
        <v>67</v>
      </c>
      <c r="C23" s="234">
        <f>D23+E23</f>
        <v>2409053</v>
      </c>
      <c r="D23" s="234">
        <v>425424</v>
      </c>
      <c r="E23" s="234">
        <v>1983629</v>
      </c>
      <c r="F23" s="234">
        <f>'[1]Bieu 51'!E22</f>
        <v>2565200.1236549998</v>
      </c>
      <c r="G23" s="234">
        <f>F23-H23</f>
        <v>485995.90009200014</v>
      </c>
      <c r="H23" s="234">
        <f>'[1]Bieu 58'!U12</f>
        <v>2079204.2235629996</v>
      </c>
      <c r="I23" s="237">
        <v>106.48168071250403</v>
      </c>
      <c r="J23" s="237">
        <v>114.23800728026632</v>
      </c>
      <c r="K23" s="237">
        <v>104.81820055882424</v>
      </c>
      <c r="L23" s="172"/>
      <c r="M23" s="172"/>
      <c r="N23" s="172"/>
      <c r="O23" s="172"/>
      <c r="P23" s="172"/>
      <c r="Q23" s="172"/>
    </row>
    <row r="24" spans="1:17" ht="15.75" x14ac:dyDescent="0.25">
      <c r="A24" s="232">
        <v>2</v>
      </c>
      <c r="B24" s="233" t="s">
        <v>68</v>
      </c>
      <c r="C24" s="234">
        <f>D24+E24</f>
        <v>16929</v>
      </c>
      <c r="D24" s="234">
        <v>14929</v>
      </c>
      <c r="E24" s="234">
        <v>2000</v>
      </c>
      <c r="F24" s="238">
        <f>'[1]Bieu 51'!E23</f>
        <v>10721.876273000002</v>
      </c>
      <c r="G24" s="234">
        <f>'[1]bieu 52'!D31</f>
        <v>8667.0846550000006</v>
      </c>
      <c r="H24" s="234">
        <f>F24-G24</f>
        <v>2054.7916180000011</v>
      </c>
      <c r="I24" s="237">
        <v>63.334374582078098</v>
      </c>
      <c r="J24" s="237">
        <v>58.055359736084135</v>
      </c>
      <c r="K24" s="237">
        <v>102.73958090000006</v>
      </c>
      <c r="L24" s="172"/>
      <c r="M24" s="172"/>
      <c r="N24" s="172"/>
      <c r="O24" s="172"/>
      <c r="P24" s="172"/>
      <c r="Q24" s="172"/>
    </row>
    <row r="25" spans="1:17" s="104" customFormat="1" ht="15.75" x14ac:dyDescent="0.25">
      <c r="A25" s="85" t="s">
        <v>29</v>
      </c>
      <c r="B25" s="86" t="s">
        <v>636</v>
      </c>
      <c r="C25" s="227">
        <f>D25+E25</f>
        <v>2200</v>
      </c>
      <c r="D25" s="227">
        <v>2200</v>
      </c>
      <c r="E25" s="227"/>
      <c r="F25" s="227">
        <f>'[1]Bieu 51'!E24</f>
        <v>1649.2660000000001</v>
      </c>
      <c r="G25" s="227">
        <f>'[1]bieu 52'!D43</f>
        <v>1649.2660000000001</v>
      </c>
      <c r="H25" s="227">
        <f>F25-G25</f>
        <v>0</v>
      </c>
      <c r="I25" s="62">
        <v>74.966636363636368</v>
      </c>
      <c r="J25" s="62">
        <v>74.966636363636368</v>
      </c>
      <c r="K25" s="62">
        <v>0</v>
      </c>
      <c r="L25" s="172"/>
      <c r="M25" s="172"/>
      <c r="N25" s="172"/>
      <c r="O25" s="172"/>
      <c r="P25" s="172"/>
      <c r="Q25" s="172"/>
    </row>
    <row r="26" spans="1:17" s="104" customFormat="1" ht="15.75" x14ac:dyDescent="0.25">
      <c r="A26" s="85" t="s">
        <v>56</v>
      </c>
      <c r="B26" s="86" t="s">
        <v>23</v>
      </c>
      <c r="C26" s="227">
        <f t="shared" ref="C26:C28" si="3">D26+E26</f>
        <v>1000</v>
      </c>
      <c r="D26" s="227">
        <v>1000</v>
      </c>
      <c r="E26" s="227"/>
      <c r="F26" s="227">
        <f>'[1]Bieu 51'!E25</f>
        <v>1000</v>
      </c>
      <c r="G26" s="227">
        <f>'[1]bieu 52'!D44</f>
        <v>1000</v>
      </c>
      <c r="H26" s="227">
        <f>F26-G26</f>
        <v>0</v>
      </c>
      <c r="I26" s="62">
        <v>100</v>
      </c>
      <c r="J26" s="62">
        <v>100</v>
      </c>
      <c r="K26" s="62">
        <v>0</v>
      </c>
      <c r="L26" s="172"/>
      <c r="M26" s="172"/>
      <c r="N26" s="172"/>
      <c r="O26" s="172"/>
      <c r="P26" s="172"/>
      <c r="Q26" s="172"/>
    </row>
    <row r="27" spans="1:17" s="104" customFormat="1" ht="15.75" x14ac:dyDescent="0.25">
      <c r="A27" s="85" t="s">
        <v>73</v>
      </c>
      <c r="B27" s="86" t="s">
        <v>24</v>
      </c>
      <c r="C27" s="227">
        <f t="shared" si="3"/>
        <v>153219.00286822853</v>
      </c>
      <c r="D27" s="227">
        <v>74046.002868228534</v>
      </c>
      <c r="E27" s="227">
        <v>79173</v>
      </c>
      <c r="F27" s="227"/>
      <c r="G27" s="227"/>
      <c r="H27" s="227"/>
      <c r="I27" s="62">
        <v>0</v>
      </c>
      <c r="J27" s="62">
        <v>0</v>
      </c>
      <c r="K27" s="62">
        <v>0</v>
      </c>
      <c r="L27" s="172"/>
      <c r="M27" s="172"/>
      <c r="N27" s="172"/>
      <c r="O27" s="172"/>
      <c r="P27" s="172"/>
      <c r="Q27" s="172"/>
    </row>
    <row r="28" spans="1:17" s="104" customFormat="1" ht="99" customHeight="1" x14ac:dyDescent="0.25">
      <c r="A28" s="85" t="s">
        <v>74</v>
      </c>
      <c r="B28" s="86" t="s">
        <v>436</v>
      </c>
      <c r="C28" s="227">
        <f t="shared" si="3"/>
        <v>1227806</v>
      </c>
      <c r="D28" s="227">
        <v>1178860</v>
      </c>
      <c r="E28" s="227">
        <v>48946</v>
      </c>
      <c r="F28" s="227">
        <f>'[1]Bieu 51'!E27</f>
        <v>109404.806157</v>
      </c>
      <c r="G28" s="227">
        <f>'[1]bieu 52'!D47</f>
        <v>109404.806157</v>
      </c>
      <c r="H28" s="227">
        <f>F28-G28</f>
        <v>0</v>
      </c>
      <c r="I28" s="62"/>
      <c r="J28" s="62">
        <v>9.2805597065809327</v>
      </c>
      <c r="K28" s="62"/>
      <c r="L28" s="172"/>
      <c r="M28" s="172"/>
      <c r="N28" s="172"/>
      <c r="O28" s="172"/>
      <c r="P28" s="172"/>
      <c r="Q28" s="172"/>
    </row>
    <row r="29" spans="1:17" s="104" customFormat="1" ht="16.5" customHeight="1" x14ac:dyDescent="0.25">
      <c r="A29" s="85" t="s">
        <v>383</v>
      </c>
      <c r="B29" s="86" t="s">
        <v>629</v>
      </c>
      <c r="C29" s="227"/>
      <c r="D29" s="227"/>
      <c r="E29" s="227">
        <f t="shared" ref="E29:E30" si="4">C29-D29</f>
        <v>0</v>
      </c>
      <c r="F29" s="239">
        <f>'[1]Bieu 51'!E28</f>
        <v>8583.1678499999998</v>
      </c>
      <c r="G29" s="240">
        <f>'[1]bieu 52'!D48</f>
        <v>8583.1678499999998</v>
      </c>
      <c r="H29" s="240">
        <f>F29-G29</f>
        <v>0</v>
      </c>
      <c r="I29" s="62">
        <v>0</v>
      </c>
      <c r="J29" s="62">
        <v>0</v>
      </c>
      <c r="K29" s="62">
        <v>0</v>
      </c>
      <c r="L29" s="172"/>
      <c r="M29" s="172"/>
      <c r="N29" s="172"/>
      <c r="O29" s="172"/>
      <c r="P29" s="172"/>
      <c r="Q29" s="172"/>
    </row>
    <row r="30" spans="1:17" s="104" customFormat="1" ht="22.5" customHeight="1" x14ac:dyDescent="0.25">
      <c r="A30" s="85" t="s">
        <v>384</v>
      </c>
      <c r="B30" s="86" t="s">
        <v>437</v>
      </c>
      <c r="C30" s="227"/>
      <c r="D30" s="227"/>
      <c r="E30" s="227">
        <f t="shared" si="4"/>
        <v>0</v>
      </c>
      <c r="F30" s="239">
        <f>'[1]Bieu 51'!E29</f>
        <v>23104</v>
      </c>
      <c r="G30" s="240">
        <f>'[1]bieu 52'!D49</f>
        <v>23104</v>
      </c>
      <c r="H30" s="240">
        <f>F30-G30</f>
        <v>0</v>
      </c>
      <c r="I30" s="62">
        <v>0</v>
      </c>
      <c r="J30" s="62">
        <v>0</v>
      </c>
      <c r="K30" s="62">
        <v>0</v>
      </c>
      <c r="L30" s="172"/>
      <c r="M30" s="172"/>
      <c r="N30" s="172"/>
      <c r="O30" s="172"/>
      <c r="P30" s="172"/>
      <c r="Q30" s="172"/>
    </row>
    <row r="31" spans="1:17" s="104" customFormat="1" ht="15.75" x14ac:dyDescent="0.25">
      <c r="A31" s="85" t="s">
        <v>242</v>
      </c>
      <c r="B31" s="86" t="s">
        <v>243</v>
      </c>
      <c r="C31" s="227">
        <f t="shared" ref="C31:C39" si="5">D31+E31</f>
        <v>77200</v>
      </c>
      <c r="D31" s="215">
        <v>77200</v>
      </c>
      <c r="E31" s="227">
        <v>0</v>
      </c>
      <c r="F31" s="239">
        <f>'[1]Bieu 51'!E30</f>
        <v>12206.46313</v>
      </c>
      <c r="G31" s="240">
        <v>12206.46313</v>
      </c>
      <c r="H31" s="240">
        <f>F31-G31</f>
        <v>0</v>
      </c>
      <c r="I31" s="62">
        <v>15.811480738341968</v>
      </c>
      <c r="J31" s="62">
        <v>15.811480738341968</v>
      </c>
      <c r="K31" s="62">
        <v>0</v>
      </c>
      <c r="L31" s="172"/>
      <c r="M31" s="172"/>
      <c r="N31" s="172"/>
      <c r="O31" s="172"/>
      <c r="P31" s="172"/>
      <c r="Q31" s="172"/>
    </row>
    <row r="32" spans="1:17" s="104" customFormat="1" ht="15.75" x14ac:dyDescent="0.25">
      <c r="A32" s="85" t="s">
        <v>8</v>
      </c>
      <c r="B32" s="86" t="s">
        <v>75</v>
      </c>
      <c r="C32" s="227">
        <f t="shared" si="5"/>
        <v>3148724</v>
      </c>
      <c r="D32" s="227">
        <f>D33+D37</f>
        <v>3147772</v>
      </c>
      <c r="E32" s="227">
        <f>E33+E37</f>
        <v>952</v>
      </c>
      <c r="F32" s="227">
        <f>F33+F37</f>
        <v>2259060.098245</v>
      </c>
      <c r="G32" s="227">
        <f>G33+G37</f>
        <v>1132629.5092000002</v>
      </c>
      <c r="H32" s="227">
        <f>F32-G32</f>
        <v>1126430.5890449998</v>
      </c>
      <c r="I32" s="62">
        <v>71.745256117875059</v>
      </c>
      <c r="J32" s="62">
        <v>35.981942440557965</v>
      </c>
      <c r="K32" s="62">
        <v>118322.5408660714</v>
      </c>
      <c r="L32" s="172"/>
      <c r="M32" s="172"/>
      <c r="N32" s="172"/>
      <c r="O32" s="172"/>
      <c r="P32" s="172"/>
      <c r="Q32" s="172"/>
    </row>
    <row r="33" spans="1:17" s="104" customFormat="1" ht="15.75" x14ac:dyDescent="0.25">
      <c r="A33" s="85" t="s">
        <v>39</v>
      </c>
      <c r="B33" s="86" t="s">
        <v>27</v>
      </c>
      <c r="C33" s="227">
        <f>D33+E33</f>
        <v>1243102</v>
      </c>
      <c r="D33" s="227">
        <f>D34+D35+D36</f>
        <v>1243102</v>
      </c>
      <c r="E33" s="227">
        <f>E34+E35+E36</f>
        <v>0</v>
      </c>
      <c r="F33" s="227">
        <f>F34+F35+F36</f>
        <v>1283926.966634</v>
      </c>
      <c r="G33" s="227">
        <f t="shared" ref="G33:H33" si="6">G34+G35+G36</f>
        <v>158511.57658899997</v>
      </c>
      <c r="H33" s="227">
        <f t="shared" si="6"/>
        <v>1125415.390045</v>
      </c>
      <c r="I33" s="62">
        <v>103.28412042085043</v>
      </c>
      <c r="J33" s="62">
        <v>12.751292861647714</v>
      </c>
      <c r="K33" s="62">
        <v>0</v>
      </c>
      <c r="L33" s="172"/>
      <c r="M33" s="172"/>
      <c r="N33" s="172"/>
      <c r="O33" s="172"/>
      <c r="P33" s="172"/>
      <c r="Q33" s="172"/>
    </row>
    <row r="34" spans="1:17" ht="15.75" x14ac:dyDescent="0.25">
      <c r="A34" s="125">
        <v>1</v>
      </c>
      <c r="B34" s="33" t="s">
        <v>203</v>
      </c>
      <c r="C34" s="227">
        <f t="shared" si="5"/>
        <v>138330</v>
      </c>
      <c r="D34" s="229">
        <v>138330</v>
      </c>
      <c r="E34" s="227"/>
      <c r="F34" s="229">
        <f>G34+H34</f>
        <v>242999.21761699999</v>
      </c>
      <c r="G34" s="229">
        <f>'[1]Bieu 61'!AK13</f>
        <v>9754.4888759999994</v>
      </c>
      <c r="H34" s="229">
        <f>'[1]Bieu 61'!AK43</f>
        <v>233244.728741</v>
      </c>
      <c r="I34" s="69">
        <v>175.66631794766138</v>
      </c>
      <c r="J34" s="69">
        <v>7.0516076599436124</v>
      </c>
      <c r="K34" s="69">
        <v>0</v>
      </c>
      <c r="L34" s="172"/>
      <c r="M34" s="172"/>
      <c r="N34" s="172"/>
      <c r="O34" s="172"/>
      <c r="P34" s="172"/>
      <c r="Q34" s="172"/>
    </row>
    <row r="35" spans="1:17" ht="15.75" x14ac:dyDescent="0.25">
      <c r="A35" s="125">
        <v>2</v>
      </c>
      <c r="B35" s="33" t="s">
        <v>204</v>
      </c>
      <c r="C35" s="227">
        <f t="shared" si="5"/>
        <v>283570</v>
      </c>
      <c r="D35" s="229">
        <v>283570</v>
      </c>
      <c r="E35" s="227"/>
      <c r="F35" s="229">
        <f>G35+H35</f>
        <v>330679.91708099999</v>
      </c>
      <c r="G35" s="229">
        <f>'[1]Bieu 61'!AD13</f>
        <v>32551.847166999996</v>
      </c>
      <c r="H35" s="229">
        <f>'[1]Bieu 61'!AD43</f>
        <v>298128.06991399999</v>
      </c>
      <c r="I35" s="69">
        <v>116.61315268928307</v>
      </c>
      <c r="J35" s="69">
        <v>11.479298644779066</v>
      </c>
      <c r="K35" s="69">
        <v>0</v>
      </c>
      <c r="L35" s="172"/>
      <c r="M35" s="172"/>
      <c r="N35" s="172"/>
      <c r="O35" s="172"/>
      <c r="P35" s="172"/>
      <c r="Q35" s="172"/>
    </row>
    <row r="36" spans="1:17" s="104" customFormat="1" ht="31.5" customHeight="1" x14ac:dyDescent="0.25">
      <c r="A36" s="125">
        <v>3</v>
      </c>
      <c r="B36" s="33" t="s">
        <v>637</v>
      </c>
      <c r="C36" s="227">
        <f t="shared" si="5"/>
        <v>821202</v>
      </c>
      <c r="D36" s="229">
        <v>821202</v>
      </c>
      <c r="E36" s="227"/>
      <c r="F36" s="229">
        <f>G36+H36</f>
        <v>710247.83193599992</v>
      </c>
      <c r="G36" s="229">
        <f>'[1]Bieu 61'!AR13</f>
        <v>116205.24054599997</v>
      </c>
      <c r="H36" s="229">
        <f>'[1]Bieu 61'!AR43</f>
        <v>594042.59138999996</v>
      </c>
      <c r="I36" s="69"/>
      <c r="J36" s="69"/>
      <c r="K36" s="69"/>
      <c r="L36" s="172"/>
      <c r="M36" s="172"/>
      <c r="N36" s="172"/>
      <c r="O36" s="172"/>
      <c r="P36" s="172"/>
      <c r="Q36" s="172"/>
    </row>
    <row r="37" spans="1:17" s="104" customFormat="1" ht="21.75" customHeight="1" x14ac:dyDescent="0.25">
      <c r="A37" s="85" t="s">
        <v>25</v>
      </c>
      <c r="B37" s="86" t="s">
        <v>205</v>
      </c>
      <c r="C37" s="227">
        <f t="shared" si="5"/>
        <v>1905622</v>
      </c>
      <c r="D37" s="227">
        <f>D38+D53</f>
        <v>1904670</v>
      </c>
      <c r="E37" s="227">
        <f>E38+E53</f>
        <v>952</v>
      </c>
      <c r="F37" s="227">
        <f>'[1]Bieu 51'!E36</f>
        <v>975133.13161100016</v>
      </c>
      <c r="G37" s="227">
        <f>G38+G53</f>
        <v>974117.93261100014</v>
      </c>
      <c r="H37" s="227">
        <f>H38+H53</f>
        <v>1015.199</v>
      </c>
      <c r="I37" s="62">
        <v>51.171382971596678</v>
      </c>
      <c r="J37" s="62">
        <v>51.14365914363119</v>
      </c>
      <c r="K37" s="62">
        <v>106.63855042016806</v>
      </c>
      <c r="L37" s="172"/>
      <c r="M37" s="172"/>
      <c r="N37" s="172"/>
      <c r="O37" s="172"/>
      <c r="P37" s="172"/>
      <c r="Q37" s="172"/>
    </row>
    <row r="38" spans="1:17" s="104" customFormat="1" ht="15.75" x14ac:dyDescent="0.25">
      <c r="A38" s="85" t="s">
        <v>206</v>
      </c>
      <c r="B38" s="86" t="s">
        <v>207</v>
      </c>
      <c r="C38" s="227">
        <f>D38+E38</f>
        <v>1825767</v>
      </c>
      <c r="D38" s="227">
        <f>D39+D42</f>
        <v>1825767</v>
      </c>
      <c r="E38" s="227">
        <f>E39+E48+E52</f>
        <v>0</v>
      </c>
      <c r="F38" s="227">
        <f>'[1]Bieu 51'!E37</f>
        <v>898937.91782800015</v>
      </c>
      <c r="G38" s="227">
        <f>G39+G42</f>
        <v>898937.91782800015</v>
      </c>
      <c r="H38" s="227">
        <f>H39+H48+H52</f>
        <v>0</v>
      </c>
      <c r="I38" s="62">
        <v>49.236179524988685</v>
      </c>
      <c r="J38" s="62">
        <v>49.236179524988685</v>
      </c>
      <c r="K38" s="62">
        <v>0</v>
      </c>
      <c r="L38" s="172"/>
      <c r="M38" s="172"/>
      <c r="N38" s="172"/>
      <c r="O38" s="172"/>
      <c r="P38" s="172"/>
      <c r="Q38" s="172"/>
    </row>
    <row r="39" spans="1:17" s="104" customFormat="1" ht="15.75" x14ac:dyDescent="0.25">
      <c r="A39" s="282">
        <v>1</v>
      </c>
      <c r="B39" s="283" t="s">
        <v>145</v>
      </c>
      <c r="C39" s="284">
        <f t="shared" si="5"/>
        <v>72367</v>
      </c>
      <c r="D39" s="284">
        <f>SUM(D40:D41)</f>
        <v>72367</v>
      </c>
      <c r="E39" s="284">
        <f>SUM(E40:E41)</f>
        <v>0</v>
      </c>
      <c r="F39" s="227">
        <f t="shared" ref="F39:F41" si="7">G39+H39</f>
        <v>51748.529523000005</v>
      </c>
      <c r="G39" s="227">
        <f>SUM(G40:G41)</f>
        <v>51748.529523000005</v>
      </c>
      <c r="H39" s="227">
        <f>SUM(H40:H41)</f>
        <v>0</v>
      </c>
      <c r="I39" s="285"/>
      <c r="J39" s="285">
        <v>71.508463143421736</v>
      </c>
      <c r="K39" s="285"/>
      <c r="L39" s="172"/>
      <c r="M39" s="172"/>
      <c r="N39" s="172"/>
      <c r="O39" s="172"/>
      <c r="P39" s="172"/>
      <c r="Q39" s="172"/>
    </row>
    <row r="40" spans="1:17" ht="31.5" x14ac:dyDescent="0.25">
      <c r="A40" s="224" t="s">
        <v>12</v>
      </c>
      <c r="B40" s="209" t="s">
        <v>441</v>
      </c>
      <c r="C40" s="286">
        <f>D40+E40</f>
        <v>3152</v>
      </c>
      <c r="D40" s="286">
        <v>3152</v>
      </c>
      <c r="E40" s="286">
        <v>0</v>
      </c>
      <c r="F40" s="227">
        <f t="shared" si="7"/>
        <v>0</v>
      </c>
      <c r="G40" s="229"/>
      <c r="H40" s="229"/>
      <c r="I40" s="287"/>
      <c r="J40" s="287"/>
      <c r="K40" s="287"/>
      <c r="L40" s="172"/>
      <c r="M40" s="172"/>
      <c r="N40" s="172"/>
      <c r="O40" s="172"/>
      <c r="P40" s="172"/>
      <c r="Q40" s="172"/>
    </row>
    <row r="41" spans="1:17" ht="31.5" x14ac:dyDescent="0.25">
      <c r="A41" s="224" t="s">
        <v>12</v>
      </c>
      <c r="B41" s="288" t="s">
        <v>443</v>
      </c>
      <c r="C41" s="286">
        <f>D41+E41</f>
        <v>69215</v>
      </c>
      <c r="D41" s="286">
        <v>69215</v>
      </c>
      <c r="E41" s="286">
        <v>0</v>
      </c>
      <c r="F41" s="229">
        <f t="shared" si="7"/>
        <v>51748.529523000005</v>
      </c>
      <c r="G41" s="229">
        <v>51748.529523000005</v>
      </c>
      <c r="H41" s="229"/>
      <c r="I41" s="287"/>
      <c r="J41" s="287"/>
      <c r="K41" s="287"/>
      <c r="L41" s="172"/>
      <c r="M41" s="172"/>
      <c r="N41" s="172"/>
      <c r="O41" s="172"/>
      <c r="P41" s="172"/>
      <c r="Q41" s="172"/>
    </row>
    <row r="42" spans="1:17" s="104" customFormat="1" ht="15.75" x14ac:dyDescent="0.25">
      <c r="A42" s="282">
        <v>2</v>
      </c>
      <c r="B42" s="283" t="s">
        <v>127</v>
      </c>
      <c r="C42" s="284">
        <f>D42+E42</f>
        <v>1753400</v>
      </c>
      <c r="D42" s="284">
        <f>D43+D52</f>
        <v>1753400</v>
      </c>
      <c r="E42" s="284">
        <f>E43+E52</f>
        <v>0</v>
      </c>
      <c r="F42" s="227">
        <f>G42+H42</f>
        <v>847189.38830500015</v>
      </c>
      <c r="G42" s="227">
        <f>G43+G52</f>
        <v>847189.38830500015</v>
      </c>
      <c r="H42" s="227">
        <f>H43+H52</f>
        <v>0</v>
      </c>
      <c r="I42" s="285"/>
      <c r="J42" s="285"/>
      <c r="K42" s="285"/>
      <c r="L42" s="172"/>
      <c r="M42" s="172"/>
      <c r="N42" s="172"/>
      <c r="O42" s="172"/>
      <c r="P42" s="172"/>
      <c r="Q42" s="172"/>
    </row>
    <row r="43" spans="1:17" ht="15.75" x14ac:dyDescent="0.25">
      <c r="A43" s="224" t="s">
        <v>638</v>
      </c>
      <c r="B43" s="225" t="s">
        <v>449</v>
      </c>
      <c r="C43" s="286">
        <f>D43+E43</f>
        <v>1408400</v>
      </c>
      <c r="D43" s="286">
        <f>SUM(D44:D51)</f>
        <v>1408400</v>
      </c>
      <c r="E43" s="286">
        <f>SUM(E44:E51)</f>
        <v>0</v>
      </c>
      <c r="F43" s="229">
        <f>G43+H43</f>
        <v>673431.10974100011</v>
      </c>
      <c r="G43" s="229">
        <f>SUM(G44:G51)</f>
        <v>673431.10974100011</v>
      </c>
      <c r="H43" s="229">
        <f>SUM(H44:H51)</f>
        <v>0</v>
      </c>
      <c r="I43" s="287"/>
      <c r="J43" s="287"/>
      <c r="K43" s="287"/>
      <c r="L43" s="172"/>
      <c r="M43" s="172"/>
      <c r="N43" s="172"/>
      <c r="O43" s="172"/>
      <c r="P43" s="172"/>
      <c r="Q43" s="172"/>
    </row>
    <row r="44" spans="1:17" ht="15.75" x14ac:dyDescent="0.25">
      <c r="A44" s="224" t="s">
        <v>12</v>
      </c>
      <c r="B44" s="209" t="s">
        <v>450</v>
      </c>
      <c r="C44" s="286">
        <f>D44+E44</f>
        <v>1014885.324</v>
      </c>
      <c r="D44" s="286">
        <v>1014885.324</v>
      </c>
      <c r="E44" s="286">
        <v>0</v>
      </c>
      <c r="F44" s="229">
        <f>G44+H44</f>
        <v>461767.05842999998</v>
      </c>
      <c r="G44" s="229">
        <f>464467.24643-G45</f>
        <v>461767.05842999998</v>
      </c>
      <c r="H44" s="229"/>
      <c r="I44" s="287"/>
      <c r="J44" s="287"/>
      <c r="K44" s="287"/>
      <c r="L44" s="172"/>
      <c r="M44" s="172"/>
      <c r="N44" s="172"/>
      <c r="O44" s="172"/>
      <c r="P44" s="172"/>
      <c r="Q44" s="172"/>
    </row>
    <row r="45" spans="1:17" ht="15.75" x14ac:dyDescent="0.25">
      <c r="A45" s="224" t="s">
        <v>12</v>
      </c>
      <c r="B45" s="225" t="s">
        <v>451</v>
      </c>
      <c r="C45" s="286">
        <f t="shared" ref="C45:C52" si="8">D45+E45</f>
        <v>43589.675999999999</v>
      </c>
      <c r="D45" s="286">
        <v>43589.675999999999</v>
      </c>
      <c r="E45" s="286">
        <v>0</v>
      </c>
      <c r="F45" s="229">
        <f t="shared" ref="F45:F52" si="9">G45+H45</f>
        <v>2700.1880000000001</v>
      </c>
      <c r="G45" s="229">
        <v>2700.1880000000001</v>
      </c>
      <c r="H45" s="229"/>
      <c r="I45" s="287"/>
      <c r="J45" s="287"/>
      <c r="K45" s="287"/>
      <c r="L45" s="172"/>
      <c r="M45" s="172"/>
      <c r="N45" s="172"/>
      <c r="O45" s="172"/>
      <c r="P45" s="172"/>
      <c r="Q45" s="172"/>
    </row>
    <row r="46" spans="1:17" ht="15.75" x14ac:dyDescent="0.25">
      <c r="A46" s="224" t="s">
        <v>12</v>
      </c>
      <c r="B46" s="225" t="s">
        <v>452</v>
      </c>
      <c r="C46" s="286">
        <f t="shared" si="8"/>
        <v>0</v>
      </c>
      <c r="D46" s="286">
        <v>0</v>
      </c>
      <c r="E46" s="286">
        <v>0</v>
      </c>
      <c r="F46" s="229">
        <f t="shared" si="9"/>
        <v>0</v>
      </c>
      <c r="G46" s="229"/>
      <c r="H46" s="229"/>
      <c r="I46" s="287"/>
      <c r="J46" s="287"/>
      <c r="K46" s="287"/>
      <c r="L46" s="172"/>
      <c r="M46" s="172"/>
      <c r="N46" s="172"/>
      <c r="O46" s="172"/>
      <c r="P46" s="172"/>
      <c r="Q46" s="172"/>
    </row>
    <row r="47" spans="1:17" s="104" customFormat="1" ht="31.5" x14ac:dyDescent="0.25">
      <c r="A47" s="224" t="s">
        <v>12</v>
      </c>
      <c r="B47" s="225" t="s">
        <v>453</v>
      </c>
      <c r="C47" s="286">
        <f t="shared" si="8"/>
        <v>335385</v>
      </c>
      <c r="D47" s="286">
        <v>335385</v>
      </c>
      <c r="E47" s="286">
        <v>0</v>
      </c>
      <c r="F47" s="229">
        <f t="shared" si="9"/>
        <v>147179.774015</v>
      </c>
      <c r="G47" s="229">
        <f>136981.140015+10198.634</f>
        <v>147179.774015</v>
      </c>
      <c r="H47" s="229"/>
      <c r="I47" s="287"/>
      <c r="J47" s="287"/>
      <c r="K47" s="287"/>
      <c r="L47" s="172"/>
      <c r="M47" s="172"/>
      <c r="N47" s="172"/>
      <c r="O47" s="172"/>
      <c r="P47" s="172"/>
      <c r="Q47" s="172"/>
    </row>
    <row r="48" spans="1:17" ht="15.75" x14ac:dyDescent="0.25">
      <c r="A48" s="224" t="s">
        <v>12</v>
      </c>
      <c r="B48" s="225" t="s">
        <v>645</v>
      </c>
      <c r="C48" s="286">
        <f t="shared" si="8"/>
        <v>14540</v>
      </c>
      <c r="D48" s="286">
        <v>14540</v>
      </c>
      <c r="E48" s="286">
        <v>0</v>
      </c>
      <c r="F48" s="229">
        <f t="shared" si="9"/>
        <v>13524.037</v>
      </c>
      <c r="G48" s="229">
        <v>13524.037</v>
      </c>
      <c r="H48" s="229"/>
      <c r="I48" s="287"/>
      <c r="J48" s="287"/>
      <c r="K48" s="287"/>
      <c r="L48" s="172"/>
      <c r="M48" s="172"/>
      <c r="N48" s="172"/>
      <c r="O48" s="172"/>
      <c r="P48" s="172"/>
      <c r="Q48" s="172"/>
    </row>
    <row r="49" spans="1:17" ht="15.75" x14ac:dyDescent="0.25">
      <c r="A49" s="224" t="s">
        <v>12</v>
      </c>
      <c r="B49" s="209" t="s">
        <v>455</v>
      </c>
      <c r="C49" s="286">
        <f t="shared" si="8"/>
        <v>0</v>
      </c>
      <c r="D49" s="286"/>
      <c r="E49" s="286">
        <v>0</v>
      </c>
      <c r="F49" s="229">
        <f t="shared" si="9"/>
        <v>0</v>
      </c>
      <c r="G49" s="229"/>
      <c r="H49" s="229"/>
      <c r="I49" s="287"/>
      <c r="J49" s="287"/>
      <c r="K49" s="287"/>
      <c r="L49" s="172"/>
      <c r="M49" s="172"/>
      <c r="N49" s="172"/>
      <c r="O49" s="172"/>
      <c r="P49" s="172"/>
      <c r="Q49" s="172"/>
    </row>
    <row r="50" spans="1:17" ht="15.75" x14ac:dyDescent="0.25">
      <c r="A50" s="224" t="s">
        <v>12</v>
      </c>
      <c r="B50" s="209" t="s">
        <v>456</v>
      </c>
      <c r="C50" s="286">
        <f t="shared" si="8"/>
        <v>0</v>
      </c>
      <c r="D50" s="286">
        <v>0</v>
      </c>
      <c r="E50" s="286">
        <v>0</v>
      </c>
      <c r="F50" s="229">
        <f t="shared" si="9"/>
        <v>18957.069</v>
      </c>
      <c r="G50" s="229">
        <v>18957.069</v>
      </c>
      <c r="H50" s="229"/>
      <c r="I50" s="287"/>
      <c r="J50" s="287"/>
      <c r="K50" s="287"/>
      <c r="L50" s="172"/>
      <c r="M50" s="172"/>
      <c r="N50" s="172"/>
      <c r="O50" s="172"/>
      <c r="P50" s="172"/>
      <c r="Q50" s="172"/>
    </row>
    <row r="51" spans="1:17" s="104" customFormat="1" ht="15.75" x14ac:dyDescent="0.25">
      <c r="A51" s="224" t="s">
        <v>12</v>
      </c>
      <c r="B51" s="209" t="s">
        <v>650</v>
      </c>
      <c r="C51" s="286">
        <f t="shared" si="8"/>
        <v>0</v>
      </c>
      <c r="D51" s="286"/>
      <c r="E51" s="286">
        <v>0</v>
      </c>
      <c r="F51" s="229">
        <f t="shared" si="9"/>
        <v>29302.983295999999</v>
      </c>
      <c r="G51" s="229">
        <v>29302.983295999999</v>
      </c>
      <c r="H51" s="229"/>
      <c r="I51" s="287"/>
      <c r="J51" s="287"/>
      <c r="K51" s="287"/>
      <c r="L51" s="172"/>
      <c r="M51" s="172"/>
      <c r="N51" s="172"/>
      <c r="O51" s="172"/>
      <c r="P51" s="172"/>
      <c r="Q51" s="172"/>
    </row>
    <row r="52" spans="1:17" s="104" customFormat="1" ht="26.25" customHeight="1" x14ac:dyDescent="0.25">
      <c r="A52" s="224" t="s">
        <v>139</v>
      </c>
      <c r="B52" s="209" t="s">
        <v>639</v>
      </c>
      <c r="C52" s="286">
        <f t="shared" si="8"/>
        <v>345000</v>
      </c>
      <c r="D52" s="286">
        <v>345000</v>
      </c>
      <c r="E52" s="286">
        <v>0</v>
      </c>
      <c r="F52" s="229">
        <f t="shared" si="9"/>
        <v>173758.27856400001</v>
      </c>
      <c r="G52" s="229">
        <v>173758.27856400001</v>
      </c>
      <c r="H52" s="229"/>
      <c r="I52" s="287"/>
      <c r="J52" s="287"/>
      <c r="K52" s="287"/>
      <c r="L52" s="172"/>
      <c r="M52" s="172"/>
      <c r="N52" s="172"/>
      <c r="O52" s="172"/>
      <c r="P52" s="172"/>
      <c r="Q52" s="172"/>
    </row>
    <row r="53" spans="1:17" ht="15.75" x14ac:dyDescent="0.25">
      <c r="A53" s="85" t="s">
        <v>208</v>
      </c>
      <c r="B53" s="86" t="s">
        <v>209</v>
      </c>
      <c r="C53" s="227">
        <f>'[1]Bieu 51'!D52</f>
        <v>79855</v>
      </c>
      <c r="D53" s="227">
        <f>D54+D56</f>
        <v>78903</v>
      </c>
      <c r="E53" s="227">
        <f>E54+E56</f>
        <v>952</v>
      </c>
      <c r="F53" s="227">
        <f>F56+F54</f>
        <v>76195.213782999999</v>
      </c>
      <c r="G53" s="227">
        <f>G56+G54</f>
        <v>75180.014782999991</v>
      </c>
      <c r="H53" s="227">
        <f>H56+H54</f>
        <v>1015.199</v>
      </c>
      <c r="I53" s="62">
        <v>95.41696046960115</v>
      </c>
      <c r="J53" s="62">
        <v>95.281566965768079</v>
      </c>
      <c r="K53" s="62">
        <v>106.63855042016806</v>
      </c>
      <c r="L53" s="172"/>
      <c r="M53" s="172"/>
      <c r="N53" s="172"/>
      <c r="O53" s="172"/>
      <c r="P53" s="172"/>
      <c r="Q53" s="172"/>
    </row>
    <row r="54" spans="1:17" ht="15.75" x14ac:dyDescent="0.25">
      <c r="A54" s="85">
        <v>1</v>
      </c>
      <c r="B54" s="86" t="s">
        <v>128</v>
      </c>
      <c r="C54" s="227">
        <f>'[1]Bieu 51'!D53</f>
        <v>0</v>
      </c>
      <c r="D54" s="227">
        <f>D55</f>
        <v>0</v>
      </c>
      <c r="E54" s="227">
        <f t="shared" ref="E54" si="10">C54-D54</f>
        <v>0</v>
      </c>
      <c r="F54" s="227">
        <f>F55</f>
        <v>0</v>
      </c>
      <c r="G54" s="227">
        <f t="shared" ref="G54:H54" si="11">G55</f>
        <v>0</v>
      </c>
      <c r="H54" s="227">
        <f t="shared" si="11"/>
        <v>0</v>
      </c>
      <c r="I54" s="62">
        <v>0</v>
      </c>
      <c r="J54" s="62">
        <v>0</v>
      </c>
      <c r="K54" s="62">
        <v>0</v>
      </c>
      <c r="L54" s="172"/>
      <c r="M54" s="172"/>
      <c r="N54" s="172"/>
      <c r="O54" s="172"/>
      <c r="P54" s="172"/>
      <c r="Q54" s="172"/>
    </row>
    <row r="55" spans="1:17" ht="15.75" x14ac:dyDescent="0.25">
      <c r="A55" s="125" t="s">
        <v>244</v>
      </c>
      <c r="B55" s="33" t="s">
        <v>467</v>
      </c>
      <c r="C55" s="229">
        <f>D55+E55</f>
        <v>0</v>
      </c>
      <c r="D55" s="229"/>
      <c r="E55" s="229">
        <v>0</v>
      </c>
      <c r="F55" s="229">
        <f t="shared" ref="F55:F64" si="12">G55+H55</f>
        <v>0</v>
      </c>
      <c r="G55" s="229"/>
      <c r="H55" s="229"/>
      <c r="I55" s="69">
        <v>0</v>
      </c>
      <c r="J55" s="69">
        <v>0</v>
      </c>
      <c r="K55" s="69">
        <v>0</v>
      </c>
      <c r="L55" s="172"/>
      <c r="M55" s="172"/>
      <c r="N55" s="172"/>
      <c r="O55" s="172"/>
      <c r="P55" s="172"/>
      <c r="Q55" s="172"/>
    </row>
    <row r="56" spans="1:17" ht="15.75" x14ac:dyDescent="0.25">
      <c r="A56" s="85">
        <v>2</v>
      </c>
      <c r="B56" s="86" t="s">
        <v>127</v>
      </c>
      <c r="C56" s="227">
        <f>D56+E56</f>
        <v>79855</v>
      </c>
      <c r="D56" s="227">
        <f>SUM(D57:D64)</f>
        <v>78903</v>
      </c>
      <c r="E56" s="227">
        <f t="shared" ref="E56:H56" si="13">SUM(E57:E64)</f>
        <v>952</v>
      </c>
      <c r="F56" s="227">
        <f t="shared" si="13"/>
        <v>76195.213782999999</v>
      </c>
      <c r="G56" s="227">
        <f t="shared" si="13"/>
        <v>75180.014782999991</v>
      </c>
      <c r="H56" s="227">
        <f t="shared" si="13"/>
        <v>1015.199</v>
      </c>
      <c r="I56" s="62">
        <v>95.41696046960115</v>
      </c>
      <c r="J56" s="62">
        <v>95.281566965768079</v>
      </c>
      <c r="K56" s="62">
        <v>106.63855042016806</v>
      </c>
      <c r="L56" s="172"/>
      <c r="M56" s="172"/>
      <c r="N56" s="172"/>
      <c r="O56" s="172"/>
      <c r="P56" s="172"/>
      <c r="Q56" s="172"/>
    </row>
    <row r="57" spans="1:17" ht="31.5" x14ac:dyDescent="0.25">
      <c r="A57" s="125" t="s">
        <v>138</v>
      </c>
      <c r="B57" s="33" t="s">
        <v>553</v>
      </c>
      <c r="C57" s="229">
        <f>D57+E57</f>
        <v>2644</v>
      </c>
      <c r="D57" s="229">
        <v>1760</v>
      </c>
      <c r="E57" s="229">
        <v>884</v>
      </c>
      <c r="F57" s="229">
        <f t="shared" si="12"/>
        <v>2589.2690000000002</v>
      </c>
      <c r="G57" s="229">
        <v>1710.0700000000002</v>
      </c>
      <c r="H57" s="229">
        <v>879.19899999999996</v>
      </c>
      <c r="I57" s="69">
        <v>97.929992435703483</v>
      </c>
      <c r="J57" s="69">
        <v>97.16306818181819</v>
      </c>
      <c r="K57" s="69">
        <v>99.456900452488682</v>
      </c>
      <c r="L57" s="172"/>
      <c r="M57" s="172"/>
      <c r="N57" s="172"/>
      <c r="O57" s="172"/>
      <c r="P57" s="172"/>
      <c r="Q57" s="172"/>
    </row>
    <row r="58" spans="1:17" ht="15.75" x14ac:dyDescent="0.25">
      <c r="A58" s="125" t="s">
        <v>139</v>
      </c>
      <c r="B58" s="33" t="s">
        <v>655</v>
      </c>
      <c r="C58" s="229">
        <f t="shared" ref="C58:C61" si="14">D58+E58</f>
        <v>48847</v>
      </c>
      <c r="D58" s="229">
        <v>48847</v>
      </c>
      <c r="E58" s="229">
        <v>0</v>
      </c>
      <c r="F58" s="229">
        <f t="shared" si="12"/>
        <v>48847</v>
      </c>
      <c r="G58" s="229">
        <v>48847</v>
      </c>
      <c r="H58" s="229"/>
      <c r="I58" s="69">
        <v>100</v>
      </c>
      <c r="J58" s="69">
        <v>100</v>
      </c>
      <c r="K58" s="69">
        <v>0</v>
      </c>
      <c r="L58" s="172"/>
      <c r="M58" s="172"/>
      <c r="N58" s="172"/>
      <c r="O58" s="172"/>
      <c r="P58" s="172"/>
      <c r="Q58" s="172"/>
    </row>
    <row r="59" spans="1:17" ht="15.75" x14ac:dyDescent="0.25">
      <c r="A59" s="125" t="s">
        <v>140</v>
      </c>
      <c r="B59" s="33" t="s">
        <v>640</v>
      </c>
      <c r="C59" s="229">
        <f t="shared" si="14"/>
        <v>2000</v>
      </c>
      <c r="D59" s="229">
        <v>2000</v>
      </c>
      <c r="E59" s="229">
        <v>0</v>
      </c>
      <c r="F59" s="229">
        <f t="shared" si="12"/>
        <v>129.91000000000003</v>
      </c>
      <c r="G59" s="229">
        <v>129.91000000000003</v>
      </c>
      <c r="H59" s="229"/>
      <c r="I59" s="69">
        <v>6.4955000000000016</v>
      </c>
      <c r="J59" s="69">
        <v>6.4955000000000016</v>
      </c>
      <c r="K59" s="69">
        <v>0</v>
      </c>
      <c r="L59" s="172"/>
      <c r="M59" s="172"/>
      <c r="N59" s="172"/>
      <c r="O59" s="172"/>
      <c r="P59" s="172"/>
      <c r="Q59" s="172"/>
    </row>
    <row r="60" spans="1:17" ht="31.5" x14ac:dyDescent="0.25">
      <c r="A60" s="125" t="s">
        <v>552</v>
      </c>
      <c r="B60" s="33" t="s">
        <v>654</v>
      </c>
      <c r="C60" s="229">
        <f t="shared" si="14"/>
        <v>230</v>
      </c>
      <c r="D60" s="229">
        <v>230</v>
      </c>
      <c r="E60" s="229"/>
      <c r="F60" s="229">
        <f t="shared" si="12"/>
        <v>228.5</v>
      </c>
      <c r="G60" s="229">
        <v>228.5</v>
      </c>
      <c r="H60" s="229"/>
      <c r="I60" s="69">
        <v>99.34782608695653</v>
      </c>
      <c r="J60" s="69">
        <v>99.34782608695653</v>
      </c>
      <c r="K60" s="69">
        <v>0</v>
      </c>
      <c r="L60" s="172"/>
      <c r="M60" s="172"/>
      <c r="N60" s="172"/>
      <c r="O60" s="172"/>
      <c r="P60" s="172"/>
      <c r="Q60" s="172"/>
    </row>
    <row r="61" spans="1:17" ht="31.5" x14ac:dyDescent="0.25">
      <c r="A61" s="125" t="s">
        <v>554</v>
      </c>
      <c r="B61" s="33" t="s">
        <v>641</v>
      </c>
      <c r="C61" s="229">
        <f t="shared" si="14"/>
        <v>25341</v>
      </c>
      <c r="D61" s="229">
        <v>25273</v>
      </c>
      <c r="E61" s="229">
        <v>68</v>
      </c>
      <c r="F61" s="229">
        <f t="shared" si="12"/>
        <v>23276.854783000002</v>
      </c>
      <c r="G61" s="229">
        <v>23140.854783000002</v>
      </c>
      <c r="H61" s="229">
        <v>136</v>
      </c>
      <c r="I61" s="69">
        <v>91.854523432382322</v>
      </c>
      <c r="J61" s="69">
        <v>91.563545218217087</v>
      </c>
      <c r="K61" s="69">
        <v>200</v>
      </c>
    </row>
    <row r="62" spans="1:17" ht="15.75" x14ac:dyDescent="0.25">
      <c r="A62" s="125" t="s">
        <v>642</v>
      </c>
      <c r="B62" s="33" t="s">
        <v>651</v>
      </c>
      <c r="C62" s="229"/>
      <c r="D62" s="229">
        <v>433</v>
      </c>
      <c r="E62" s="229"/>
      <c r="F62" s="229">
        <f t="shared" si="12"/>
        <v>866</v>
      </c>
      <c r="G62" s="229">
        <v>866</v>
      </c>
      <c r="H62" s="229"/>
      <c r="I62" s="69">
        <v>0</v>
      </c>
      <c r="J62" s="69">
        <v>200</v>
      </c>
      <c r="K62" s="69">
        <v>0</v>
      </c>
    </row>
    <row r="63" spans="1:17" ht="15.75" x14ac:dyDescent="0.25">
      <c r="A63" s="125" t="s">
        <v>643</v>
      </c>
      <c r="B63" s="33" t="s">
        <v>652</v>
      </c>
      <c r="C63" s="229"/>
      <c r="D63" s="229">
        <v>160</v>
      </c>
      <c r="E63" s="229"/>
      <c r="F63" s="229">
        <f t="shared" si="12"/>
        <v>160</v>
      </c>
      <c r="G63" s="229">
        <v>160</v>
      </c>
      <c r="H63" s="229"/>
      <c r="I63" s="69">
        <v>0</v>
      </c>
      <c r="J63" s="69">
        <v>100</v>
      </c>
      <c r="K63" s="69">
        <v>0</v>
      </c>
    </row>
    <row r="64" spans="1:17" ht="47.25" x14ac:dyDescent="0.25">
      <c r="A64" s="125" t="s">
        <v>644</v>
      </c>
      <c r="B64" s="33" t="s">
        <v>653</v>
      </c>
      <c r="C64" s="229"/>
      <c r="D64" s="229">
        <v>200</v>
      </c>
      <c r="E64" s="229"/>
      <c r="F64" s="229">
        <f t="shared" si="12"/>
        <v>97.68</v>
      </c>
      <c r="G64" s="229">
        <v>97.68</v>
      </c>
      <c r="H64" s="229"/>
      <c r="I64" s="69">
        <v>0</v>
      </c>
      <c r="J64" s="69">
        <v>48.84</v>
      </c>
      <c r="K64" s="69">
        <v>0</v>
      </c>
    </row>
    <row r="65" spans="1:11" ht="21" customHeight="1" x14ac:dyDescent="0.25">
      <c r="A65" s="85" t="s">
        <v>31</v>
      </c>
      <c r="B65" s="86" t="s">
        <v>76</v>
      </c>
      <c r="C65" s="227">
        <f>'[1]Bieu 51'!D64</f>
        <v>0</v>
      </c>
      <c r="D65" s="227"/>
      <c r="E65" s="227"/>
      <c r="F65" s="227">
        <f>'[1]Bieu 51'!E64</f>
        <v>4429726.1766579999</v>
      </c>
      <c r="G65" s="227">
        <f>'[1]bieu 52'!D50</f>
        <v>2859544.5055379998</v>
      </c>
      <c r="H65" s="227">
        <v>1570181.6711200001</v>
      </c>
      <c r="I65" s="62">
        <v>0</v>
      </c>
      <c r="J65" s="62">
        <v>0</v>
      </c>
      <c r="K65" s="62">
        <v>0</v>
      </c>
    </row>
    <row r="66" spans="1:11" ht="15.75" x14ac:dyDescent="0.25">
      <c r="A66" s="91" t="s">
        <v>32</v>
      </c>
      <c r="B66" s="92" t="s">
        <v>249</v>
      </c>
      <c r="C66" s="241">
        <f>'[1]Bieu 51'!D65</f>
        <v>0</v>
      </c>
      <c r="D66" s="241"/>
      <c r="E66" s="241"/>
      <c r="F66" s="241">
        <f>'[1]Bieu 51'!E65</f>
        <v>198741.61247100003</v>
      </c>
      <c r="G66" s="241">
        <f>'[1]bieu 52'!D51</f>
        <v>122849.305433</v>
      </c>
      <c r="H66" s="241">
        <v>75892.407038000005</v>
      </c>
      <c r="I66" s="201">
        <v>0</v>
      </c>
      <c r="J66" s="201">
        <v>0</v>
      </c>
      <c r="K66" s="201">
        <v>0</v>
      </c>
    </row>
  </sheetData>
  <mergeCells count="10">
    <mergeCell ref="A2:K2"/>
    <mergeCell ref="A3:K3"/>
    <mergeCell ref="J4:K4"/>
    <mergeCell ref="A5:A6"/>
    <mergeCell ref="D5:E5"/>
    <mergeCell ref="F5:F6"/>
    <mergeCell ref="G5:H5"/>
    <mergeCell ref="I5:K5"/>
    <mergeCell ref="B5:B6"/>
    <mergeCell ref="C5:C6"/>
  </mergeCells>
  <dataValidations count="2">
    <dataValidation allowBlank="1" showInputMessage="1" showErrorMessage="1" prompt="Chưa bao gồm chi chuyển giao ngân sách _x000a_" sqref="WVO982990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486 JC65486 SY65486 ACU65486 AMQ65486 AWM65486 BGI65486 BQE65486 CAA65486 CJW65486 CTS65486 DDO65486 DNK65486 DXG65486 EHC65486 EQY65486 FAU65486 FKQ65486 FUM65486 GEI65486 GOE65486 GYA65486 HHW65486 HRS65486 IBO65486 ILK65486 IVG65486 JFC65486 JOY65486 JYU65486 KIQ65486 KSM65486 LCI65486 LME65486 LWA65486 MFW65486 MPS65486 MZO65486 NJK65486 NTG65486 ODC65486 OMY65486 OWU65486 PGQ65486 PQM65486 QAI65486 QKE65486 QUA65486 RDW65486 RNS65486 RXO65486 SHK65486 SRG65486 TBC65486 TKY65486 TUU65486 UEQ65486 UOM65486 UYI65486 VIE65486 VSA65486 WBW65486 WLS65486 WVO65486 G131022 JC131022 SY131022 ACU131022 AMQ131022 AWM131022 BGI131022 BQE131022 CAA131022 CJW131022 CTS131022 DDO131022 DNK131022 DXG131022 EHC131022 EQY131022 FAU131022 FKQ131022 FUM131022 GEI131022 GOE131022 GYA131022 HHW131022 HRS131022 IBO131022 ILK131022 IVG131022 JFC131022 JOY131022 JYU131022 KIQ131022 KSM131022 LCI131022 LME131022 LWA131022 MFW131022 MPS131022 MZO131022 NJK131022 NTG131022 ODC131022 OMY131022 OWU131022 PGQ131022 PQM131022 QAI131022 QKE131022 QUA131022 RDW131022 RNS131022 RXO131022 SHK131022 SRG131022 TBC131022 TKY131022 TUU131022 UEQ131022 UOM131022 UYI131022 VIE131022 VSA131022 WBW131022 WLS131022 WVO131022 G196558 JC196558 SY196558 ACU196558 AMQ196558 AWM196558 BGI196558 BQE196558 CAA196558 CJW196558 CTS196558 DDO196558 DNK196558 DXG196558 EHC196558 EQY196558 FAU196558 FKQ196558 FUM196558 GEI196558 GOE196558 GYA196558 HHW196558 HRS196558 IBO196558 ILK196558 IVG196558 JFC196558 JOY196558 JYU196558 KIQ196558 KSM196558 LCI196558 LME196558 LWA196558 MFW196558 MPS196558 MZO196558 NJK196558 NTG196558 ODC196558 OMY196558 OWU196558 PGQ196558 PQM196558 QAI196558 QKE196558 QUA196558 RDW196558 RNS196558 RXO196558 SHK196558 SRG196558 TBC196558 TKY196558 TUU196558 UEQ196558 UOM196558 UYI196558 VIE196558 VSA196558 WBW196558 WLS196558 WVO196558 G262094 JC262094 SY262094 ACU262094 AMQ262094 AWM262094 BGI262094 BQE262094 CAA262094 CJW262094 CTS262094 DDO262094 DNK262094 DXG262094 EHC262094 EQY262094 FAU262094 FKQ262094 FUM262094 GEI262094 GOE262094 GYA262094 HHW262094 HRS262094 IBO262094 ILK262094 IVG262094 JFC262094 JOY262094 JYU262094 KIQ262094 KSM262094 LCI262094 LME262094 LWA262094 MFW262094 MPS262094 MZO262094 NJK262094 NTG262094 ODC262094 OMY262094 OWU262094 PGQ262094 PQM262094 QAI262094 QKE262094 QUA262094 RDW262094 RNS262094 RXO262094 SHK262094 SRG262094 TBC262094 TKY262094 TUU262094 UEQ262094 UOM262094 UYI262094 VIE262094 VSA262094 WBW262094 WLS262094 WVO262094 G327630 JC327630 SY327630 ACU327630 AMQ327630 AWM327630 BGI327630 BQE327630 CAA327630 CJW327630 CTS327630 DDO327630 DNK327630 DXG327630 EHC327630 EQY327630 FAU327630 FKQ327630 FUM327630 GEI327630 GOE327630 GYA327630 HHW327630 HRS327630 IBO327630 ILK327630 IVG327630 JFC327630 JOY327630 JYU327630 KIQ327630 KSM327630 LCI327630 LME327630 LWA327630 MFW327630 MPS327630 MZO327630 NJK327630 NTG327630 ODC327630 OMY327630 OWU327630 PGQ327630 PQM327630 QAI327630 QKE327630 QUA327630 RDW327630 RNS327630 RXO327630 SHK327630 SRG327630 TBC327630 TKY327630 TUU327630 UEQ327630 UOM327630 UYI327630 VIE327630 VSA327630 WBW327630 WLS327630 WVO327630 G393166 JC393166 SY393166 ACU393166 AMQ393166 AWM393166 BGI393166 BQE393166 CAA393166 CJW393166 CTS393166 DDO393166 DNK393166 DXG393166 EHC393166 EQY393166 FAU393166 FKQ393166 FUM393166 GEI393166 GOE393166 GYA393166 HHW393166 HRS393166 IBO393166 ILK393166 IVG393166 JFC393166 JOY393166 JYU393166 KIQ393166 KSM393166 LCI393166 LME393166 LWA393166 MFW393166 MPS393166 MZO393166 NJK393166 NTG393166 ODC393166 OMY393166 OWU393166 PGQ393166 PQM393166 QAI393166 QKE393166 QUA393166 RDW393166 RNS393166 RXO393166 SHK393166 SRG393166 TBC393166 TKY393166 TUU393166 UEQ393166 UOM393166 UYI393166 VIE393166 VSA393166 WBW393166 WLS393166 WVO393166 G458702 JC458702 SY458702 ACU458702 AMQ458702 AWM458702 BGI458702 BQE458702 CAA458702 CJW458702 CTS458702 DDO458702 DNK458702 DXG458702 EHC458702 EQY458702 FAU458702 FKQ458702 FUM458702 GEI458702 GOE458702 GYA458702 HHW458702 HRS458702 IBO458702 ILK458702 IVG458702 JFC458702 JOY458702 JYU458702 KIQ458702 KSM458702 LCI458702 LME458702 LWA458702 MFW458702 MPS458702 MZO458702 NJK458702 NTG458702 ODC458702 OMY458702 OWU458702 PGQ458702 PQM458702 QAI458702 QKE458702 QUA458702 RDW458702 RNS458702 RXO458702 SHK458702 SRG458702 TBC458702 TKY458702 TUU458702 UEQ458702 UOM458702 UYI458702 VIE458702 VSA458702 WBW458702 WLS458702 WVO458702 G524238 JC524238 SY524238 ACU524238 AMQ524238 AWM524238 BGI524238 BQE524238 CAA524238 CJW524238 CTS524238 DDO524238 DNK524238 DXG524238 EHC524238 EQY524238 FAU524238 FKQ524238 FUM524238 GEI524238 GOE524238 GYA524238 HHW524238 HRS524238 IBO524238 ILK524238 IVG524238 JFC524238 JOY524238 JYU524238 KIQ524238 KSM524238 LCI524238 LME524238 LWA524238 MFW524238 MPS524238 MZO524238 NJK524238 NTG524238 ODC524238 OMY524238 OWU524238 PGQ524238 PQM524238 QAI524238 QKE524238 QUA524238 RDW524238 RNS524238 RXO524238 SHK524238 SRG524238 TBC524238 TKY524238 TUU524238 UEQ524238 UOM524238 UYI524238 VIE524238 VSA524238 WBW524238 WLS524238 WVO524238 G589774 JC589774 SY589774 ACU589774 AMQ589774 AWM589774 BGI589774 BQE589774 CAA589774 CJW589774 CTS589774 DDO589774 DNK589774 DXG589774 EHC589774 EQY589774 FAU589774 FKQ589774 FUM589774 GEI589774 GOE589774 GYA589774 HHW589774 HRS589774 IBO589774 ILK589774 IVG589774 JFC589774 JOY589774 JYU589774 KIQ589774 KSM589774 LCI589774 LME589774 LWA589774 MFW589774 MPS589774 MZO589774 NJK589774 NTG589774 ODC589774 OMY589774 OWU589774 PGQ589774 PQM589774 QAI589774 QKE589774 QUA589774 RDW589774 RNS589774 RXO589774 SHK589774 SRG589774 TBC589774 TKY589774 TUU589774 UEQ589774 UOM589774 UYI589774 VIE589774 VSA589774 WBW589774 WLS589774 WVO589774 G655310 JC655310 SY655310 ACU655310 AMQ655310 AWM655310 BGI655310 BQE655310 CAA655310 CJW655310 CTS655310 DDO655310 DNK655310 DXG655310 EHC655310 EQY655310 FAU655310 FKQ655310 FUM655310 GEI655310 GOE655310 GYA655310 HHW655310 HRS655310 IBO655310 ILK655310 IVG655310 JFC655310 JOY655310 JYU655310 KIQ655310 KSM655310 LCI655310 LME655310 LWA655310 MFW655310 MPS655310 MZO655310 NJK655310 NTG655310 ODC655310 OMY655310 OWU655310 PGQ655310 PQM655310 QAI655310 QKE655310 QUA655310 RDW655310 RNS655310 RXO655310 SHK655310 SRG655310 TBC655310 TKY655310 TUU655310 UEQ655310 UOM655310 UYI655310 VIE655310 VSA655310 WBW655310 WLS655310 WVO655310 G720846 JC720846 SY720846 ACU720846 AMQ720846 AWM720846 BGI720846 BQE720846 CAA720846 CJW720846 CTS720846 DDO720846 DNK720846 DXG720846 EHC720846 EQY720846 FAU720846 FKQ720846 FUM720846 GEI720846 GOE720846 GYA720846 HHW720846 HRS720846 IBO720846 ILK720846 IVG720846 JFC720846 JOY720846 JYU720846 KIQ720846 KSM720846 LCI720846 LME720846 LWA720846 MFW720846 MPS720846 MZO720846 NJK720846 NTG720846 ODC720846 OMY720846 OWU720846 PGQ720846 PQM720846 QAI720846 QKE720846 QUA720846 RDW720846 RNS720846 RXO720846 SHK720846 SRG720846 TBC720846 TKY720846 TUU720846 UEQ720846 UOM720846 UYI720846 VIE720846 VSA720846 WBW720846 WLS720846 WVO720846 G786382 JC786382 SY786382 ACU786382 AMQ786382 AWM786382 BGI786382 BQE786382 CAA786382 CJW786382 CTS786382 DDO786382 DNK786382 DXG786382 EHC786382 EQY786382 FAU786382 FKQ786382 FUM786382 GEI786382 GOE786382 GYA786382 HHW786382 HRS786382 IBO786382 ILK786382 IVG786382 JFC786382 JOY786382 JYU786382 KIQ786382 KSM786382 LCI786382 LME786382 LWA786382 MFW786382 MPS786382 MZO786382 NJK786382 NTG786382 ODC786382 OMY786382 OWU786382 PGQ786382 PQM786382 QAI786382 QKE786382 QUA786382 RDW786382 RNS786382 RXO786382 SHK786382 SRG786382 TBC786382 TKY786382 TUU786382 UEQ786382 UOM786382 UYI786382 VIE786382 VSA786382 WBW786382 WLS786382 WVO786382 G851918 JC851918 SY851918 ACU851918 AMQ851918 AWM851918 BGI851918 BQE851918 CAA851918 CJW851918 CTS851918 DDO851918 DNK851918 DXG851918 EHC851918 EQY851918 FAU851918 FKQ851918 FUM851918 GEI851918 GOE851918 GYA851918 HHW851918 HRS851918 IBO851918 ILK851918 IVG851918 JFC851918 JOY851918 JYU851918 KIQ851918 KSM851918 LCI851918 LME851918 LWA851918 MFW851918 MPS851918 MZO851918 NJK851918 NTG851918 ODC851918 OMY851918 OWU851918 PGQ851918 PQM851918 QAI851918 QKE851918 QUA851918 RDW851918 RNS851918 RXO851918 SHK851918 SRG851918 TBC851918 TKY851918 TUU851918 UEQ851918 UOM851918 UYI851918 VIE851918 VSA851918 WBW851918 WLS851918 WVO851918 G917454 JC917454 SY917454 ACU917454 AMQ917454 AWM917454 BGI917454 BQE917454 CAA917454 CJW917454 CTS917454 DDO917454 DNK917454 DXG917454 EHC917454 EQY917454 FAU917454 FKQ917454 FUM917454 GEI917454 GOE917454 GYA917454 HHW917454 HRS917454 IBO917454 ILK917454 IVG917454 JFC917454 JOY917454 JYU917454 KIQ917454 KSM917454 LCI917454 LME917454 LWA917454 MFW917454 MPS917454 MZO917454 NJK917454 NTG917454 ODC917454 OMY917454 OWU917454 PGQ917454 PQM917454 QAI917454 QKE917454 QUA917454 RDW917454 RNS917454 RXO917454 SHK917454 SRG917454 TBC917454 TKY917454 TUU917454 UEQ917454 UOM917454 UYI917454 VIE917454 VSA917454 WBW917454 WLS917454 WVO917454 G982990 JC982990 SY982990 ACU982990 AMQ982990 AWM982990 BGI982990 BQE982990 CAA982990 CJW982990 CTS982990 DDO982990 DNK982990 DXG982990 EHC982990 EQY982990 FAU982990 FKQ982990 FUM982990 GEI982990 GOE982990 GYA982990 HHW982990 HRS982990 IBO982990 ILK982990 IVG982990 JFC982990 JOY982990 JYU982990 KIQ982990 KSM982990 LCI982990 LME982990 LWA982990 MFW982990 MPS982990 MZO982990 NJK982990 NTG982990 ODC982990 OMY982990 OWU982990 PGQ982990 PQM982990 QAI982990 QKE982990 QUA982990 RDW982990 RNS982990 RXO982990 SHK982990 SRG982990 TBC982990 TKY982990 TUU982990 UEQ982990 UOM982990 UYI982990 VIE982990 VSA982990 WBW982990 WLS982990 G8" xr:uid="{00000000-0002-0000-0200-000000000000}"/>
    <dataValidation allowBlank="1" showInputMessage="1" showErrorMessage="1" prompt="Chưa bao gồm chi chuyển giao ngân sách " sqref="WVP982990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486 JB65486 SX65486 ACT65486 AMP65486 AWL65486 BGH65486 BQD65486 BZZ65486 CJV65486 CTR65486 DDN65486 DNJ65486 DXF65486 EHB65486 EQX65486 FAT65486 FKP65486 FUL65486 GEH65486 GOD65486 GXZ65486 HHV65486 HRR65486 IBN65486 ILJ65486 IVF65486 JFB65486 JOX65486 JYT65486 KIP65486 KSL65486 LCH65486 LMD65486 LVZ65486 MFV65486 MPR65486 MZN65486 NJJ65486 NTF65486 ODB65486 OMX65486 OWT65486 PGP65486 PQL65486 QAH65486 QKD65486 QTZ65486 RDV65486 RNR65486 RXN65486 SHJ65486 SRF65486 TBB65486 TKX65486 TUT65486 UEP65486 UOL65486 UYH65486 VID65486 VRZ65486 WBV65486 WLR65486 WVN65486 F131022 JB131022 SX131022 ACT131022 AMP131022 AWL131022 BGH131022 BQD131022 BZZ131022 CJV131022 CTR131022 DDN131022 DNJ131022 DXF131022 EHB131022 EQX131022 FAT131022 FKP131022 FUL131022 GEH131022 GOD131022 GXZ131022 HHV131022 HRR131022 IBN131022 ILJ131022 IVF131022 JFB131022 JOX131022 JYT131022 KIP131022 KSL131022 LCH131022 LMD131022 LVZ131022 MFV131022 MPR131022 MZN131022 NJJ131022 NTF131022 ODB131022 OMX131022 OWT131022 PGP131022 PQL131022 QAH131022 QKD131022 QTZ131022 RDV131022 RNR131022 RXN131022 SHJ131022 SRF131022 TBB131022 TKX131022 TUT131022 UEP131022 UOL131022 UYH131022 VID131022 VRZ131022 WBV131022 WLR131022 WVN131022 F196558 JB196558 SX196558 ACT196558 AMP196558 AWL196558 BGH196558 BQD196558 BZZ196558 CJV196558 CTR196558 DDN196558 DNJ196558 DXF196558 EHB196558 EQX196558 FAT196558 FKP196558 FUL196558 GEH196558 GOD196558 GXZ196558 HHV196558 HRR196558 IBN196558 ILJ196558 IVF196558 JFB196558 JOX196558 JYT196558 KIP196558 KSL196558 LCH196558 LMD196558 LVZ196558 MFV196558 MPR196558 MZN196558 NJJ196558 NTF196558 ODB196558 OMX196558 OWT196558 PGP196558 PQL196558 QAH196558 QKD196558 QTZ196558 RDV196558 RNR196558 RXN196558 SHJ196558 SRF196558 TBB196558 TKX196558 TUT196558 UEP196558 UOL196558 UYH196558 VID196558 VRZ196558 WBV196558 WLR196558 WVN196558 F262094 JB262094 SX262094 ACT262094 AMP262094 AWL262094 BGH262094 BQD262094 BZZ262094 CJV262094 CTR262094 DDN262094 DNJ262094 DXF262094 EHB262094 EQX262094 FAT262094 FKP262094 FUL262094 GEH262094 GOD262094 GXZ262094 HHV262094 HRR262094 IBN262094 ILJ262094 IVF262094 JFB262094 JOX262094 JYT262094 KIP262094 KSL262094 LCH262094 LMD262094 LVZ262094 MFV262094 MPR262094 MZN262094 NJJ262094 NTF262094 ODB262094 OMX262094 OWT262094 PGP262094 PQL262094 QAH262094 QKD262094 QTZ262094 RDV262094 RNR262094 RXN262094 SHJ262094 SRF262094 TBB262094 TKX262094 TUT262094 UEP262094 UOL262094 UYH262094 VID262094 VRZ262094 WBV262094 WLR262094 WVN262094 F327630 JB327630 SX327630 ACT327630 AMP327630 AWL327630 BGH327630 BQD327630 BZZ327630 CJV327630 CTR327630 DDN327630 DNJ327630 DXF327630 EHB327630 EQX327630 FAT327630 FKP327630 FUL327630 GEH327630 GOD327630 GXZ327630 HHV327630 HRR327630 IBN327630 ILJ327630 IVF327630 JFB327630 JOX327630 JYT327630 KIP327630 KSL327630 LCH327630 LMD327630 LVZ327630 MFV327630 MPR327630 MZN327630 NJJ327630 NTF327630 ODB327630 OMX327630 OWT327630 PGP327630 PQL327630 QAH327630 QKD327630 QTZ327630 RDV327630 RNR327630 RXN327630 SHJ327630 SRF327630 TBB327630 TKX327630 TUT327630 UEP327630 UOL327630 UYH327630 VID327630 VRZ327630 WBV327630 WLR327630 WVN327630 F393166 JB393166 SX393166 ACT393166 AMP393166 AWL393166 BGH393166 BQD393166 BZZ393166 CJV393166 CTR393166 DDN393166 DNJ393166 DXF393166 EHB393166 EQX393166 FAT393166 FKP393166 FUL393166 GEH393166 GOD393166 GXZ393166 HHV393166 HRR393166 IBN393166 ILJ393166 IVF393166 JFB393166 JOX393166 JYT393166 KIP393166 KSL393166 LCH393166 LMD393166 LVZ393166 MFV393166 MPR393166 MZN393166 NJJ393166 NTF393166 ODB393166 OMX393166 OWT393166 PGP393166 PQL393166 QAH393166 QKD393166 QTZ393166 RDV393166 RNR393166 RXN393166 SHJ393166 SRF393166 TBB393166 TKX393166 TUT393166 UEP393166 UOL393166 UYH393166 VID393166 VRZ393166 WBV393166 WLR393166 WVN393166 F458702 JB458702 SX458702 ACT458702 AMP458702 AWL458702 BGH458702 BQD458702 BZZ458702 CJV458702 CTR458702 DDN458702 DNJ458702 DXF458702 EHB458702 EQX458702 FAT458702 FKP458702 FUL458702 GEH458702 GOD458702 GXZ458702 HHV458702 HRR458702 IBN458702 ILJ458702 IVF458702 JFB458702 JOX458702 JYT458702 KIP458702 KSL458702 LCH458702 LMD458702 LVZ458702 MFV458702 MPR458702 MZN458702 NJJ458702 NTF458702 ODB458702 OMX458702 OWT458702 PGP458702 PQL458702 QAH458702 QKD458702 QTZ458702 RDV458702 RNR458702 RXN458702 SHJ458702 SRF458702 TBB458702 TKX458702 TUT458702 UEP458702 UOL458702 UYH458702 VID458702 VRZ458702 WBV458702 WLR458702 WVN458702 F524238 JB524238 SX524238 ACT524238 AMP524238 AWL524238 BGH524238 BQD524238 BZZ524238 CJV524238 CTR524238 DDN524238 DNJ524238 DXF524238 EHB524238 EQX524238 FAT524238 FKP524238 FUL524238 GEH524238 GOD524238 GXZ524238 HHV524238 HRR524238 IBN524238 ILJ524238 IVF524238 JFB524238 JOX524238 JYT524238 KIP524238 KSL524238 LCH524238 LMD524238 LVZ524238 MFV524238 MPR524238 MZN524238 NJJ524238 NTF524238 ODB524238 OMX524238 OWT524238 PGP524238 PQL524238 QAH524238 QKD524238 QTZ524238 RDV524238 RNR524238 RXN524238 SHJ524238 SRF524238 TBB524238 TKX524238 TUT524238 UEP524238 UOL524238 UYH524238 VID524238 VRZ524238 WBV524238 WLR524238 WVN524238 F589774 JB589774 SX589774 ACT589774 AMP589774 AWL589774 BGH589774 BQD589774 BZZ589774 CJV589774 CTR589774 DDN589774 DNJ589774 DXF589774 EHB589774 EQX589774 FAT589774 FKP589774 FUL589774 GEH589774 GOD589774 GXZ589774 HHV589774 HRR589774 IBN589774 ILJ589774 IVF589774 JFB589774 JOX589774 JYT589774 KIP589774 KSL589774 LCH589774 LMD589774 LVZ589774 MFV589774 MPR589774 MZN589774 NJJ589774 NTF589774 ODB589774 OMX589774 OWT589774 PGP589774 PQL589774 QAH589774 QKD589774 QTZ589774 RDV589774 RNR589774 RXN589774 SHJ589774 SRF589774 TBB589774 TKX589774 TUT589774 UEP589774 UOL589774 UYH589774 VID589774 VRZ589774 WBV589774 WLR589774 WVN589774 F655310 JB655310 SX655310 ACT655310 AMP655310 AWL655310 BGH655310 BQD655310 BZZ655310 CJV655310 CTR655310 DDN655310 DNJ655310 DXF655310 EHB655310 EQX655310 FAT655310 FKP655310 FUL655310 GEH655310 GOD655310 GXZ655310 HHV655310 HRR655310 IBN655310 ILJ655310 IVF655310 JFB655310 JOX655310 JYT655310 KIP655310 KSL655310 LCH655310 LMD655310 LVZ655310 MFV655310 MPR655310 MZN655310 NJJ655310 NTF655310 ODB655310 OMX655310 OWT655310 PGP655310 PQL655310 QAH655310 QKD655310 QTZ655310 RDV655310 RNR655310 RXN655310 SHJ655310 SRF655310 TBB655310 TKX655310 TUT655310 UEP655310 UOL655310 UYH655310 VID655310 VRZ655310 WBV655310 WLR655310 WVN655310 F720846 JB720846 SX720846 ACT720846 AMP720846 AWL720846 BGH720846 BQD720846 BZZ720846 CJV720846 CTR720846 DDN720846 DNJ720846 DXF720846 EHB720846 EQX720846 FAT720846 FKP720846 FUL720846 GEH720846 GOD720846 GXZ720846 HHV720846 HRR720846 IBN720846 ILJ720846 IVF720846 JFB720846 JOX720846 JYT720846 KIP720846 KSL720846 LCH720846 LMD720846 LVZ720846 MFV720846 MPR720846 MZN720846 NJJ720846 NTF720846 ODB720846 OMX720846 OWT720846 PGP720846 PQL720846 QAH720846 QKD720846 QTZ720846 RDV720846 RNR720846 RXN720846 SHJ720846 SRF720846 TBB720846 TKX720846 TUT720846 UEP720846 UOL720846 UYH720846 VID720846 VRZ720846 WBV720846 WLR720846 WVN720846 F786382 JB786382 SX786382 ACT786382 AMP786382 AWL786382 BGH786382 BQD786382 BZZ786382 CJV786382 CTR786382 DDN786382 DNJ786382 DXF786382 EHB786382 EQX786382 FAT786382 FKP786382 FUL786382 GEH786382 GOD786382 GXZ786382 HHV786382 HRR786382 IBN786382 ILJ786382 IVF786382 JFB786382 JOX786382 JYT786382 KIP786382 KSL786382 LCH786382 LMD786382 LVZ786382 MFV786382 MPR786382 MZN786382 NJJ786382 NTF786382 ODB786382 OMX786382 OWT786382 PGP786382 PQL786382 QAH786382 QKD786382 QTZ786382 RDV786382 RNR786382 RXN786382 SHJ786382 SRF786382 TBB786382 TKX786382 TUT786382 UEP786382 UOL786382 UYH786382 VID786382 VRZ786382 WBV786382 WLR786382 WVN786382 F851918 JB851918 SX851918 ACT851918 AMP851918 AWL851918 BGH851918 BQD851918 BZZ851918 CJV851918 CTR851918 DDN851918 DNJ851918 DXF851918 EHB851918 EQX851918 FAT851918 FKP851918 FUL851918 GEH851918 GOD851918 GXZ851918 HHV851918 HRR851918 IBN851918 ILJ851918 IVF851918 JFB851918 JOX851918 JYT851918 KIP851918 KSL851918 LCH851918 LMD851918 LVZ851918 MFV851918 MPR851918 MZN851918 NJJ851918 NTF851918 ODB851918 OMX851918 OWT851918 PGP851918 PQL851918 QAH851918 QKD851918 QTZ851918 RDV851918 RNR851918 RXN851918 SHJ851918 SRF851918 TBB851918 TKX851918 TUT851918 UEP851918 UOL851918 UYH851918 VID851918 VRZ851918 WBV851918 WLR851918 WVN851918 F917454 JB917454 SX917454 ACT917454 AMP917454 AWL917454 BGH917454 BQD917454 BZZ917454 CJV917454 CTR917454 DDN917454 DNJ917454 DXF917454 EHB917454 EQX917454 FAT917454 FKP917454 FUL917454 GEH917454 GOD917454 GXZ917454 HHV917454 HRR917454 IBN917454 ILJ917454 IVF917454 JFB917454 JOX917454 JYT917454 KIP917454 KSL917454 LCH917454 LMD917454 LVZ917454 MFV917454 MPR917454 MZN917454 NJJ917454 NTF917454 ODB917454 OMX917454 OWT917454 PGP917454 PQL917454 QAH917454 QKD917454 QTZ917454 RDV917454 RNR917454 RXN917454 SHJ917454 SRF917454 TBB917454 TKX917454 TUT917454 UEP917454 UOL917454 UYH917454 VID917454 VRZ917454 WBV917454 WLR917454 WVN917454 F982990 JB982990 SX982990 ACT982990 AMP982990 AWL982990 BGH982990 BQD982990 BZZ982990 CJV982990 CTR982990 DDN982990 DNJ982990 DXF982990 EHB982990 EQX982990 FAT982990 FKP982990 FUL982990 GEH982990 GOD982990 GXZ982990 HHV982990 HRR982990 IBN982990 ILJ982990 IVF982990 JFB982990 JOX982990 JYT982990 KIP982990 KSL982990 LCH982990 LMD982990 LVZ982990 MFV982990 MPR982990 MZN982990 NJJ982990 NTF982990 ODB982990 OMX982990 OWT982990 PGP982990 PQL982990 QAH982990 QKD982990 QTZ982990 RDV982990 RNR982990 RXN982990 SHJ982990 SRF982990 TBB982990 TKX982990 TUT982990 UEP982990 UOL982990 UYH982990 VID982990 VRZ982990 WBV982990 WLR982990 WVN982990 WLT982990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486 JD65486 SZ65486 ACV65486 AMR65486 AWN65486 BGJ65486 BQF65486 CAB65486 CJX65486 CTT65486 DDP65486 DNL65486 DXH65486 EHD65486 EQZ65486 FAV65486 FKR65486 FUN65486 GEJ65486 GOF65486 GYB65486 HHX65486 HRT65486 IBP65486 ILL65486 IVH65486 JFD65486 JOZ65486 JYV65486 KIR65486 KSN65486 LCJ65486 LMF65486 LWB65486 MFX65486 MPT65486 MZP65486 NJL65486 NTH65486 ODD65486 OMZ65486 OWV65486 PGR65486 PQN65486 QAJ65486 QKF65486 QUB65486 RDX65486 RNT65486 RXP65486 SHL65486 SRH65486 TBD65486 TKZ65486 TUV65486 UER65486 UON65486 UYJ65486 VIF65486 VSB65486 WBX65486 WLT65486 WVP65486 H131022 JD131022 SZ131022 ACV131022 AMR131022 AWN131022 BGJ131022 BQF131022 CAB131022 CJX131022 CTT131022 DDP131022 DNL131022 DXH131022 EHD131022 EQZ131022 FAV131022 FKR131022 FUN131022 GEJ131022 GOF131022 GYB131022 HHX131022 HRT131022 IBP131022 ILL131022 IVH131022 JFD131022 JOZ131022 JYV131022 KIR131022 KSN131022 LCJ131022 LMF131022 LWB131022 MFX131022 MPT131022 MZP131022 NJL131022 NTH131022 ODD131022 OMZ131022 OWV131022 PGR131022 PQN131022 QAJ131022 QKF131022 QUB131022 RDX131022 RNT131022 RXP131022 SHL131022 SRH131022 TBD131022 TKZ131022 TUV131022 UER131022 UON131022 UYJ131022 VIF131022 VSB131022 WBX131022 WLT131022 WVP131022 H196558 JD196558 SZ196558 ACV196558 AMR196558 AWN196558 BGJ196558 BQF196558 CAB196558 CJX196558 CTT196558 DDP196558 DNL196558 DXH196558 EHD196558 EQZ196558 FAV196558 FKR196558 FUN196558 GEJ196558 GOF196558 GYB196558 HHX196558 HRT196558 IBP196558 ILL196558 IVH196558 JFD196558 JOZ196558 JYV196558 KIR196558 KSN196558 LCJ196558 LMF196558 LWB196558 MFX196558 MPT196558 MZP196558 NJL196558 NTH196558 ODD196558 OMZ196558 OWV196558 PGR196558 PQN196558 QAJ196558 QKF196558 QUB196558 RDX196558 RNT196558 RXP196558 SHL196558 SRH196558 TBD196558 TKZ196558 TUV196558 UER196558 UON196558 UYJ196558 VIF196558 VSB196558 WBX196558 WLT196558 WVP196558 H262094 JD262094 SZ262094 ACV262094 AMR262094 AWN262094 BGJ262094 BQF262094 CAB262094 CJX262094 CTT262094 DDP262094 DNL262094 DXH262094 EHD262094 EQZ262094 FAV262094 FKR262094 FUN262094 GEJ262094 GOF262094 GYB262094 HHX262094 HRT262094 IBP262094 ILL262094 IVH262094 JFD262094 JOZ262094 JYV262094 KIR262094 KSN262094 LCJ262094 LMF262094 LWB262094 MFX262094 MPT262094 MZP262094 NJL262094 NTH262094 ODD262094 OMZ262094 OWV262094 PGR262094 PQN262094 QAJ262094 QKF262094 QUB262094 RDX262094 RNT262094 RXP262094 SHL262094 SRH262094 TBD262094 TKZ262094 TUV262094 UER262094 UON262094 UYJ262094 VIF262094 VSB262094 WBX262094 WLT262094 WVP262094 H327630 JD327630 SZ327630 ACV327630 AMR327630 AWN327630 BGJ327630 BQF327630 CAB327630 CJX327630 CTT327630 DDP327630 DNL327630 DXH327630 EHD327630 EQZ327630 FAV327630 FKR327630 FUN327630 GEJ327630 GOF327630 GYB327630 HHX327630 HRT327630 IBP327630 ILL327630 IVH327630 JFD327630 JOZ327630 JYV327630 KIR327630 KSN327630 LCJ327630 LMF327630 LWB327630 MFX327630 MPT327630 MZP327630 NJL327630 NTH327630 ODD327630 OMZ327630 OWV327630 PGR327630 PQN327630 QAJ327630 QKF327630 QUB327630 RDX327630 RNT327630 RXP327630 SHL327630 SRH327630 TBD327630 TKZ327630 TUV327630 UER327630 UON327630 UYJ327630 VIF327630 VSB327630 WBX327630 WLT327630 WVP327630 H393166 JD393166 SZ393166 ACV393166 AMR393166 AWN393166 BGJ393166 BQF393166 CAB393166 CJX393166 CTT393166 DDP393166 DNL393166 DXH393166 EHD393166 EQZ393166 FAV393166 FKR393166 FUN393166 GEJ393166 GOF393166 GYB393166 HHX393166 HRT393166 IBP393166 ILL393166 IVH393166 JFD393166 JOZ393166 JYV393166 KIR393166 KSN393166 LCJ393166 LMF393166 LWB393166 MFX393166 MPT393166 MZP393166 NJL393166 NTH393166 ODD393166 OMZ393166 OWV393166 PGR393166 PQN393166 QAJ393166 QKF393166 QUB393166 RDX393166 RNT393166 RXP393166 SHL393166 SRH393166 TBD393166 TKZ393166 TUV393166 UER393166 UON393166 UYJ393166 VIF393166 VSB393166 WBX393166 WLT393166 WVP393166 H458702 JD458702 SZ458702 ACV458702 AMR458702 AWN458702 BGJ458702 BQF458702 CAB458702 CJX458702 CTT458702 DDP458702 DNL458702 DXH458702 EHD458702 EQZ458702 FAV458702 FKR458702 FUN458702 GEJ458702 GOF458702 GYB458702 HHX458702 HRT458702 IBP458702 ILL458702 IVH458702 JFD458702 JOZ458702 JYV458702 KIR458702 KSN458702 LCJ458702 LMF458702 LWB458702 MFX458702 MPT458702 MZP458702 NJL458702 NTH458702 ODD458702 OMZ458702 OWV458702 PGR458702 PQN458702 QAJ458702 QKF458702 QUB458702 RDX458702 RNT458702 RXP458702 SHL458702 SRH458702 TBD458702 TKZ458702 TUV458702 UER458702 UON458702 UYJ458702 VIF458702 VSB458702 WBX458702 WLT458702 WVP458702 H524238 JD524238 SZ524238 ACV524238 AMR524238 AWN524238 BGJ524238 BQF524238 CAB524238 CJX524238 CTT524238 DDP524238 DNL524238 DXH524238 EHD524238 EQZ524238 FAV524238 FKR524238 FUN524238 GEJ524238 GOF524238 GYB524238 HHX524238 HRT524238 IBP524238 ILL524238 IVH524238 JFD524238 JOZ524238 JYV524238 KIR524238 KSN524238 LCJ524238 LMF524238 LWB524238 MFX524238 MPT524238 MZP524238 NJL524238 NTH524238 ODD524238 OMZ524238 OWV524238 PGR524238 PQN524238 QAJ524238 QKF524238 QUB524238 RDX524238 RNT524238 RXP524238 SHL524238 SRH524238 TBD524238 TKZ524238 TUV524238 UER524238 UON524238 UYJ524238 VIF524238 VSB524238 WBX524238 WLT524238 WVP524238 H589774 JD589774 SZ589774 ACV589774 AMR589774 AWN589774 BGJ589774 BQF589774 CAB589774 CJX589774 CTT589774 DDP589774 DNL589774 DXH589774 EHD589774 EQZ589774 FAV589774 FKR589774 FUN589774 GEJ589774 GOF589774 GYB589774 HHX589774 HRT589774 IBP589774 ILL589774 IVH589774 JFD589774 JOZ589774 JYV589774 KIR589774 KSN589774 LCJ589774 LMF589774 LWB589774 MFX589774 MPT589774 MZP589774 NJL589774 NTH589774 ODD589774 OMZ589774 OWV589774 PGR589774 PQN589774 QAJ589774 QKF589774 QUB589774 RDX589774 RNT589774 RXP589774 SHL589774 SRH589774 TBD589774 TKZ589774 TUV589774 UER589774 UON589774 UYJ589774 VIF589774 VSB589774 WBX589774 WLT589774 WVP589774 H655310 JD655310 SZ655310 ACV655310 AMR655310 AWN655310 BGJ655310 BQF655310 CAB655310 CJX655310 CTT655310 DDP655310 DNL655310 DXH655310 EHD655310 EQZ655310 FAV655310 FKR655310 FUN655310 GEJ655310 GOF655310 GYB655310 HHX655310 HRT655310 IBP655310 ILL655310 IVH655310 JFD655310 JOZ655310 JYV655310 KIR655310 KSN655310 LCJ655310 LMF655310 LWB655310 MFX655310 MPT655310 MZP655310 NJL655310 NTH655310 ODD655310 OMZ655310 OWV655310 PGR655310 PQN655310 QAJ655310 QKF655310 QUB655310 RDX655310 RNT655310 RXP655310 SHL655310 SRH655310 TBD655310 TKZ655310 TUV655310 UER655310 UON655310 UYJ655310 VIF655310 VSB655310 WBX655310 WLT655310 WVP655310 H720846 JD720846 SZ720846 ACV720846 AMR720846 AWN720846 BGJ720846 BQF720846 CAB720846 CJX720846 CTT720846 DDP720846 DNL720846 DXH720846 EHD720846 EQZ720846 FAV720846 FKR720846 FUN720846 GEJ720846 GOF720846 GYB720846 HHX720846 HRT720846 IBP720846 ILL720846 IVH720846 JFD720846 JOZ720846 JYV720846 KIR720846 KSN720846 LCJ720846 LMF720846 LWB720846 MFX720846 MPT720846 MZP720846 NJL720846 NTH720846 ODD720846 OMZ720846 OWV720846 PGR720846 PQN720846 QAJ720846 QKF720846 QUB720846 RDX720846 RNT720846 RXP720846 SHL720846 SRH720846 TBD720846 TKZ720846 TUV720846 UER720846 UON720846 UYJ720846 VIF720846 VSB720846 WBX720846 WLT720846 WVP720846 H786382 JD786382 SZ786382 ACV786382 AMR786382 AWN786382 BGJ786382 BQF786382 CAB786382 CJX786382 CTT786382 DDP786382 DNL786382 DXH786382 EHD786382 EQZ786382 FAV786382 FKR786382 FUN786382 GEJ786382 GOF786382 GYB786382 HHX786382 HRT786382 IBP786382 ILL786382 IVH786382 JFD786382 JOZ786382 JYV786382 KIR786382 KSN786382 LCJ786382 LMF786382 LWB786382 MFX786382 MPT786382 MZP786382 NJL786382 NTH786382 ODD786382 OMZ786382 OWV786382 PGR786382 PQN786382 QAJ786382 QKF786382 QUB786382 RDX786382 RNT786382 RXP786382 SHL786382 SRH786382 TBD786382 TKZ786382 TUV786382 UER786382 UON786382 UYJ786382 VIF786382 VSB786382 WBX786382 WLT786382 WVP786382 H851918 JD851918 SZ851918 ACV851918 AMR851918 AWN851918 BGJ851918 BQF851918 CAB851918 CJX851918 CTT851918 DDP851918 DNL851918 DXH851918 EHD851918 EQZ851918 FAV851918 FKR851918 FUN851918 GEJ851918 GOF851918 GYB851918 HHX851918 HRT851918 IBP851918 ILL851918 IVH851918 JFD851918 JOZ851918 JYV851918 KIR851918 KSN851918 LCJ851918 LMF851918 LWB851918 MFX851918 MPT851918 MZP851918 NJL851918 NTH851918 ODD851918 OMZ851918 OWV851918 PGR851918 PQN851918 QAJ851918 QKF851918 QUB851918 RDX851918 RNT851918 RXP851918 SHL851918 SRH851918 TBD851918 TKZ851918 TUV851918 UER851918 UON851918 UYJ851918 VIF851918 VSB851918 WBX851918 WLT851918 WVP851918 H917454 JD917454 SZ917454 ACV917454 AMR917454 AWN917454 BGJ917454 BQF917454 CAB917454 CJX917454 CTT917454 DDP917454 DNL917454 DXH917454 EHD917454 EQZ917454 FAV917454 FKR917454 FUN917454 GEJ917454 GOF917454 GYB917454 HHX917454 HRT917454 IBP917454 ILL917454 IVH917454 JFD917454 JOZ917454 JYV917454 KIR917454 KSN917454 LCJ917454 LMF917454 LWB917454 MFX917454 MPT917454 MZP917454 NJL917454 NTH917454 ODD917454 OMZ917454 OWV917454 PGR917454 PQN917454 QAJ917454 QKF917454 QUB917454 RDX917454 RNT917454 RXP917454 SHL917454 SRH917454 TBD917454 TKZ917454 TUV917454 UER917454 UON917454 UYJ917454 VIF917454 VSB917454 WBX917454 WLT917454 WVP917454 H982990 JD982990 SZ982990 ACV982990 AMR982990 AWN982990 BGJ982990 BQF982990 CAB982990 CJX982990 CTT982990 DDP982990 DNL982990 DXH982990 EHD982990 EQZ982990 FAV982990 FKR982990 FUN982990 GEJ982990 GOF982990 GYB982990 HHX982990 HRT982990 IBP982990 ILL982990 IVH982990 JFD982990 JOZ982990 JYV982990 KIR982990 KSN982990 LCJ982990 LMF982990 LWB982990 MFX982990 MPT982990 MZP982990 NJL982990 NTH982990 ODD982990 OMZ982990 OWV982990 PGR982990 PQN982990 QAJ982990 QKF982990 QUB982990 RDX982990 RNT982990 RXP982990 SHL982990 SRH982990 TBD982990 TKZ982990 TUV982990 UER982990 UON982990 UYJ982990 VIF982990 VSB982990 WBX982990 F8 H8" xr:uid="{00000000-0002-0000-0200-000001000000}"/>
  </dataValidations>
  <printOptions horizontalCentered="1"/>
  <pageMargins left="0" right="0" top="0.75" bottom="0.45" header="0.3" footer="0.3"/>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8"/>
  <sheetViews>
    <sheetView zoomScaleNormal="100" workbookViewId="0">
      <pane xSplit="2" ySplit="7" topLeftCell="C38" activePane="bottomRight" state="frozen"/>
      <selection pane="topRight" activeCell="C1" sqref="C1"/>
      <selection pane="bottomLeft" activeCell="A8" sqref="A8"/>
      <selection pane="bottomRight" activeCell="A4" sqref="A4:E4"/>
    </sheetView>
  </sheetViews>
  <sheetFormatPr defaultColWidth="9.140625" defaultRowHeight="15.75" x14ac:dyDescent="0.25"/>
  <cols>
    <col min="1" max="1" width="6.85546875" style="9" customWidth="1"/>
    <col min="2" max="2" width="56.42578125" style="9" customWidth="1"/>
    <col min="3" max="3" width="14.42578125" style="9" customWidth="1"/>
    <col min="4" max="4" width="16" style="9" customWidth="1"/>
    <col min="5" max="5" width="15.5703125" style="9" customWidth="1"/>
    <col min="6" max="6" width="13.140625" style="9" customWidth="1"/>
    <col min="7" max="7" width="15.42578125" style="9" bestFit="1" customWidth="1"/>
    <col min="8" max="8" width="11.42578125" style="9" bestFit="1" customWidth="1"/>
    <col min="9" max="9" width="10.140625" style="9" bestFit="1" customWidth="1"/>
    <col min="10" max="10" width="9.140625" style="9"/>
    <col min="11" max="11" width="11.42578125" style="9" bestFit="1" customWidth="1"/>
    <col min="12" max="16384" width="9.140625" style="9"/>
  </cols>
  <sheetData>
    <row r="1" spans="1:11" x14ac:dyDescent="0.25">
      <c r="A1" s="15"/>
      <c r="D1" s="15" t="s">
        <v>77</v>
      </c>
    </row>
    <row r="2" spans="1:11" x14ac:dyDescent="0.25">
      <c r="A2" s="29"/>
    </row>
    <row r="3" spans="1:11" ht="16.5" x14ac:dyDescent="0.25">
      <c r="A3" s="318" t="s">
        <v>647</v>
      </c>
      <c r="B3" s="318"/>
      <c r="C3" s="318"/>
      <c r="D3" s="318"/>
      <c r="E3" s="318"/>
    </row>
    <row r="4" spans="1:11" x14ac:dyDescent="0.25">
      <c r="A4" s="319" t="s">
        <v>708</v>
      </c>
      <c r="B4" s="319"/>
      <c r="C4" s="319"/>
      <c r="D4" s="319"/>
      <c r="E4" s="319"/>
    </row>
    <row r="5" spans="1:11" x14ac:dyDescent="0.25">
      <c r="B5" s="2"/>
      <c r="C5" s="21"/>
      <c r="D5" s="42" t="s">
        <v>154</v>
      </c>
    </row>
    <row r="6" spans="1:11" x14ac:dyDescent="0.25">
      <c r="A6" s="53" t="s">
        <v>2</v>
      </c>
      <c r="B6" s="53" t="s">
        <v>3</v>
      </c>
      <c r="C6" s="53" t="s">
        <v>35</v>
      </c>
      <c r="D6" s="53" t="s">
        <v>5</v>
      </c>
      <c r="E6" s="53" t="s">
        <v>6</v>
      </c>
      <c r="G6" s="6"/>
    </row>
    <row r="7" spans="1:11" x14ac:dyDescent="0.25">
      <c r="A7" s="243" t="s">
        <v>7</v>
      </c>
      <c r="B7" s="243" t="s">
        <v>8</v>
      </c>
      <c r="C7" s="243">
        <v>1</v>
      </c>
      <c r="D7" s="243">
        <v>2</v>
      </c>
      <c r="E7" s="243" t="s">
        <v>9</v>
      </c>
      <c r="G7" s="6"/>
      <c r="H7" s="6"/>
    </row>
    <row r="8" spans="1:11" s="36" customFormat="1" ht="19.5" customHeight="1" x14ac:dyDescent="0.25">
      <c r="A8" s="198"/>
      <c r="B8" s="199" t="s">
        <v>20</v>
      </c>
      <c r="C8" s="289">
        <f>C9+C10+C47+C48</f>
        <v>9042071.2628682293</v>
      </c>
      <c r="D8" s="289">
        <f>D9+D10+D47+D48</f>
        <v>8900850.0361119993</v>
      </c>
      <c r="E8" s="293">
        <f>IF((C8&gt;0),D8/C8*100,0)</f>
        <v>98.438176136300072</v>
      </c>
      <c r="F8" s="44"/>
      <c r="G8" s="44"/>
      <c r="H8" s="43"/>
    </row>
    <row r="9" spans="1:11" s="36" customFormat="1" ht="31.5" x14ac:dyDescent="0.25">
      <c r="A9" s="85" t="s">
        <v>7</v>
      </c>
      <c r="B9" s="86" t="s">
        <v>500</v>
      </c>
      <c r="C9" s="215">
        <v>2446169</v>
      </c>
      <c r="D9" s="215">
        <v>2433666.660832</v>
      </c>
      <c r="E9" s="294">
        <f>IF((C9&gt;0),D9/C9*100,0)</f>
        <v>99.488901250567721</v>
      </c>
      <c r="F9" s="44"/>
      <c r="G9" s="44"/>
      <c r="H9" s="44"/>
    </row>
    <row r="10" spans="1:11" s="16" customFormat="1" ht="31.5" x14ac:dyDescent="0.25">
      <c r="A10" s="85" t="s">
        <v>8</v>
      </c>
      <c r="B10" s="86" t="s">
        <v>501</v>
      </c>
      <c r="C10" s="215">
        <f>C11+C28+C40+C41+C42+C44+C45+C43</f>
        <v>6595902.2628682284</v>
      </c>
      <c r="D10" s="215">
        <f>D11+D28+D40+D41+D42+D44+D45+D46+D43</f>
        <v>3484789.5643090005</v>
      </c>
      <c r="E10" s="294">
        <f>IF((C10&gt;0),D10/C10*100,0)</f>
        <v>52.832644048210007</v>
      </c>
      <c r="F10" s="44"/>
      <c r="G10" s="242"/>
      <c r="H10" s="45"/>
      <c r="K10" s="44"/>
    </row>
    <row r="11" spans="1:11" s="36" customFormat="1" x14ac:dyDescent="0.25">
      <c r="A11" s="85" t="s">
        <v>39</v>
      </c>
      <c r="B11" s="86" t="s">
        <v>155</v>
      </c>
      <c r="C11" s="215">
        <f>C12+C26+C27</f>
        <v>2869983</v>
      </c>
      <c r="D11" s="215">
        <f>D12+D26+D27</f>
        <v>1372779.7954070005</v>
      </c>
      <c r="E11" s="295">
        <f t="shared" ref="E11:E48" si="0">IF((C11&gt;0),D11/C11*100,0)</f>
        <v>47.832331947854762</v>
      </c>
      <c r="F11" s="44"/>
      <c r="G11" s="110"/>
      <c r="K11" s="44"/>
    </row>
    <row r="12" spans="1:11" s="16" customFormat="1" x14ac:dyDescent="0.25">
      <c r="A12" s="85">
        <v>1</v>
      </c>
      <c r="B12" s="86" t="s">
        <v>66</v>
      </c>
      <c r="C12" s="215">
        <f>369061+675155+1825767</f>
        <v>2869983</v>
      </c>
      <c r="D12" s="215">
        <f>SUM(D13:D25)-D43-D44</f>
        <v>1367322.7954070005</v>
      </c>
      <c r="E12" s="296">
        <f t="shared" si="0"/>
        <v>47.642191448764692</v>
      </c>
      <c r="F12" s="44"/>
      <c r="G12" s="111"/>
      <c r="H12" s="45"/>
      <c r="K12" s="45"/>
    </row>
    <row r="13" spans="1:11" s="16" customFormat="1" x14ac:dyDescent="0.25">
      <c r="A13" s="125" t="s">
        <v>78</v>
      </c>
      <c r="B13" s="33" t="s">
        <v>67</v>
      </c>
      <c r="C13" s="230">
        <v>80971.294999999998</v>
      </c>
      <c r="D13" s="230">
        <v>91708.944604000004</v>
      </c>
      <c r="E13" s="296"/>
      <c r="F13" s="44"/>
      <c r="G13" s="111"/>
      <c r="H13" s="45"/>
      <c r="K13" s="45"/>
    </row>
    <row r="14" spans="1:11" s="16" customFormat="1" x14ac:dyDescent="0.25">
      <c r="A14" s="125" t="s">
        <v>79</v>
      </c>
      <c r="B14" s="33" t="s">
        <v>68</v>
      </c>
      <c r="C14" s="230"/>
      <c r="D14" s="230">
        <v>15346.098400000001</v>
      </c>
      <c r="E14" s="296">
        <f t="shared" si="0"/>
        <v>0</v>
      </c>
      <c r="F14" s="44"/>
      <c r="K14" s="45"/>
    </row>
    <row r="15" spans="1:11" s="16" customFormat="1" x14ac:dyDescent="0.25">
      <c r="A15" s="125" t="s">
        <v>80</v>
      </c>
      <c r="B15" s="33" t="s">
        <v>81</v>
      </c>
      <c r="C15" s="230">
        <v>233785</v>
      </c>
      <c r="D15" s="230">
        <v>85914.657351000002</v>
      </c>
      <c r="E15" s="296">
        <f t="shared" si="0"/>
        <v>36.749431037491718</v>
      </c>
      <c r="F15" s="44"/>
      <c r="H15" s="46"/>
      <c r="I15" s="46"/>
      <c r="K15" s="45"/>
    </row>
    <row r="16" spans="1:11" s="16" customFormat="1" x14ac:dyDescent="0.25">
      <c r="A16" s="125" t="s">
        <v>82</v>
      </c>
      <c r="B16" s="33" t="s">
        <v>83</v>
      </c>
      <c r="C16" s="230">
        <v>32330.407999999999</v>
      </c>
      <c r="D16" s="290">
        <v>3846.541569</v>
      </c>
      <c r="E16" s="296">
        <f t="shared" si="0"/>
        <v>11.897596742360939</v>
      </c>
      <c r="F16" s="44"/>
    </row>
    <row r="17" spans="1:8" s="16" customFormat="1" x14ac:dyDescent="0.25">
      <c r="A17" s="125" t="s">
        <v>84</v>
      </c>
      <c r="B17" s="33" t="s">
        <v>85</v>
      </c>
      <c r="C17" s="230">
        <v>5000</v>
      </c>
      <c r="D17" s="230">
        <v>9082.375</v>
      </c>
      <c r="E17" s="296">
        <f t="shared" si="0"/>
        <v>181.64750000000001</v>
      </c>
      <c r="F17" s="44"/>
      <c r="H17" s="45"/>
    </row>
    <row r="18" spans="1:8" s="16" customFormat="1" x14ac:dyDescent="0.25">
      <c r="A18" s="125" t="s">
        <v>86</v>
      </c>
      <c r="B18" s="33" t="s">
        <v>87</v>
      </c>
      <c r="C18" s="230">
        <v>14060.856</v>
      </c>
      <c r="D18" s="230">
        <v>26947.810576</v>
      </c>
      <c r="E18" s="296">
        <f t="shared" si="0"/>
        <v>191.65128051947903</v>
      </c>
      <c r="F18" s="44"/>
    </row>
    <row r="19" spans="1:8" s="16" customFormat="1" x14ac:dyDescent="0.25">
      <c r="A19" s="125" t="s">
        <v>88</v>
      </c>
      <c r="B19" s="33" t="s">
        <v>89</v>
      </c>
      <c r="C19" s="230"/>
      <c r="D19" s="230">
        <v>0</v>
      </c>
      <c r="E19" s="296">
        <f t="shared" si="0"/>
        <v>0</v>
      </c>
      <c r="F19" s="44"/>
    </row>
    <row r="20" spans="1:8" s="16" customFormat="1" x14ac:dyDescent="0.25">
      <c r="A20" s="125" t="s">
        <v>90</v>
      </c>
      <c r="B20" s="33" t="s">
        <v>91</v>
      </c>
      <c r="C20" s="230">
        <v>1776340.4410000001</v>
      </c>
      <c r="D20" s="230">
        <v>1016321.862117</v>
      </c>
      <c r="E20" s="296">
        <f t="shared" si="0"/>
        <v>57.214362667150468</v>
      </c>
      <c r="F20" s="44"/>
    </row>
    <row r="21" spans="1:8" s="16" customFormat="1" x14ac:dyDescent="0.25">
      <c r="A21" s="125" t="s">
        <v>92</v>
      </c>
      <c r="B21" s="33" t="s">
        <v>93</v>
      </c>
      <c r="C21" s="230">
        <v>112783</v>
      </c>
      <c r="D21" s="230">
        <v>219913.671512</v>
      </c>
      <c r="E21" s="296">
        <f t="shared" si="0"/>
        <v>194.98831518225265</v>
      </c>
      <c r="F21" s="44"/>
      <c r="G21" s="45"/>
    </row>
    <row r="22" spans="1:8" s="16" customFormat="1" x14ac:dyDescent="0.25">
      <c r="A22" s="125" t="s">
        <v>94</v>
      </c>
      <c r="B22" s="33" t="s">
        <v>95</v>
      </c>
      <c r="C22" s="230"/>
      <c r="D22" s="230">
        <v>271.77199999999999</v>
      </c>
      <c r="E22" s="296">
        <f t="shared" si="0"/>
        <v>0</v>
      </c>
      <c r="F22" s="44"/>
      <c r="G22" s="45"/>
    </row>
    <row r="23" spans="1:8" s="16" customFormat="1" x14ac:dyDescent="0.25">
      <c r="A23" s="125" t="s">
        <v>502</v>
      </c>
      <c r="B23" s="33" t="s">
        <v>71</v>
      </c>
      <c r="C23" s="230">
        <v>19040</v>
      </c>
      <c r="D23" s="230">
        <v>19580.331565</v>
      </c>
      <c r="E23" s="296">
        <f t="shared" si="0"/>
        <v>102.83787586659665</v>
      </c>
      <c r="F23" s="44"/>
    </row>
    <row r="24" spans="1:8" s="16" customFormat="1" hidden="1" x14ac:dyDescent="0.25">
      <c r="A24" s="125" t="s">
        <v>504</v>
      </c>
      <c r="B24" s="33"/>
      <c r="C24" s="230"/>
      <c r="D24" s="230"/>
      <c r="E24" s="296">
        <f t="shared" si="0"/>
        <v>0</v>
      </c>
      <c r="F24" s="44"/>
      <c r="H24" s="45"/>
    </row>
    <row r="25" spans="1:8" s="36" customFormat="1" hidden="1" x14ac:dyDescent="0.25">
      <c r="A25" s="125" t="s">
        <v>646</v>
      </c>
      <c r="B25" s="33"/>
      <c r="C25" s="230"/>
      <c r="D25" s="230"/>
      <c r="E25" s="297">
        <f t="shared" si="0"/>
        <v>0</v>
      </c>
      <c r="F25" s="44"/>
    </row>
    <row r="26" spans="1:8" s="36" customFormat="1" ht="63" x14ac:dyDescent="0.25">
      <c r="A26" s="85">
        <v>2</v>
      </c>
      <c r="B26" s="86" t="s">
        <v>202</v>
      </c>
      <c r="C26" s="215"/>
      <c r="D26" s="215">
        <v>5457</v>
      </c>
      <c r="E26" s="294">
        <f t="shared" si="0"/>
        <v>0</v>
      </c>
      <c r="F26" s="44"/>
    </row>
    <row r="27" spans="1:8" s="36" customFormat="1" x14ac:dyDescent="0.25">
      <c r="A27" s="85">
        <v>3</v>
      </c>
      <c r="B27" s="86" t="s">
        <v>71</v>
      </c>
      <c r="C27" s="215">
        <v>0</v>
      </c>
      <c r="D27" s="215"/>
      <c r="E27" s="294"/>
      <c r="F27" s="44"/>
    </row>
    <row r="28" spans="1:8" s="16" customFormat="1" x14ac:dyDescent="0.25">
      <c r="A28" s="85" t="s">
        <v>25</v>
      </c>
      <c r="B28" s="86" t="s">
        <v>22</v>
      </c>
      <c r="C28" s="215">
        <f>SUM(C29:C39)</f>
        <v>2392613.2599999998</v>
      </c>
      <c r="D28" s="215">
        <f>SUM(D29:D39)</f>
        <v>1956062.0657650002</v>
      </c>
      <c r="E28" s="297">
        <f t="shared" si="0"/>
        <v>81.754209861939842</v>
      </c>
      <c r="F28" s="44"/>
    </row>
    <row r="29" spans="1:8" s="16" customFormat="1" x14ac:dyDescent="0.25">
      <c r="A29" s="125">
        <v>1</v>
      </c>
      <c r="B29" s="33" t="s">
        <v>67</v>
      </c>
      <c r="C29" s="230">
        <v>565392</v>
      </c>
      <c r="D29" s="230">
        <v>478435.985361</v>
      </c>
      <c r="E29" s="297">
        <f t="shared" si="0"/>
        <v>84.620225500360817</v>
      </c>
      <c r="F29" s="44"/>
    </row>
    <row r="30" spans="1:8" s="16" customFormat="1" x14ac:dyDescent="0.25">
      <c r="A30" s="125">
        <v>2</v>
      </c>
      <c r="B30" s="33" t="s">
        <v>505</v>
      </c>
      <c r="C30" s="230">
        <v>14929</v>
      </c>
      <c r="D30" s="230">
        <v>8667.0846550000006</v>
      </c>
      <c r="E30" s="297">
        <f t="shared" si="0"/>
        <v>58.055359736084135</v>
      </c>
      <c r="F30" s="44"/>
    </row>
    <row r="31" spans="1:8" s="16" customFormat="1" x14ac:dyDescent="0.25">
      <c r="A31" s="125">
        <v>3</v>
      </c>
      <c r="B31" s="33" t="s">
        <v>81</v>
      </c>
      <c r="C31" s="230">
        <v>547739</v>
      </c>
      <c r="D31" s="230">
        <v>525639.79331400001</v>
      </c>
      <c r="E31" s="297">
        <f t="shared" si="0"/>
        <v>95.96537645009758</v>
      </c>
      <c r="F31" s="44"/>
    </row>
    <row r="32" spans="1:8" s="16" customFormat="1" x14ac:dyDescent="0.25">
      <c r="A32" s="125">
        <v>4</v>
      </c>
      <c r="B32" s="33" t="s">
        <v>83</v>
      </c>
      <c r="C32" s="230">
        <v>74604</v>
      </c>
      <c r="D32" s="230">
        <v>67443.828217000002</v>
      </c>
      <c r="E32" s="297">
        <f t="shared" si="0"/>
        <v>90.402429115060855</v>
      </c>
      <c r="F32" s="44"/>
    </row>
    <row r="33" spans="1:6" s="16" customFormat="1" x14ac:dyDescent="0.25">
      <c r="A33" s="125">
        <v>5</v>
      </c>
      <c r="B33" s="33" t="s">
        <v>85</v>
      </c>
      <c r="C33" s="230">
        <v>18381</v>
      </c>
      <c r="D33" s="230">
        <v>18014.706559999999</v>
      </c>
      <c r="E33" s="297">
        <f t="shared" si="0"/>
        <v>98.007217017572486</v>
      </c>
      <c r="F33" s="44"/>
    </row>
    <row r="34" spans="1:6" s="16" customFormat="1" x14ac:dyDescent="0.25">
      <c r="A34" s="125">
        <v>6</v>
      </c>
      <c r="B34" s="33" t="s">
        <v>87</v>
      </c>
      <c r="C34" s="230">
        <v>14290</v>
      </c>
      <c r="D34" s="230">
        <v>14367.016589999999</v>
      </c>
      <c r="E34" s="297">
        <f t="shared" si="0"/>
        <v>100.5389544436669</v>
      </c>
      <c r="F34" s="44"/>
    </row>
    <row r="35" spans="1:6" s="16" customFormat="1" x14ac:dyDescent="0.25">
      <c r="A35" s="125">
        <v>7</v>
      </c>
      <c r="B35" s="33" t="s">
        <v>89</v>
      </c>
      <c r="C35" s="230">
        <v>12646</v>
      </c>
      <c r="D35" s="230">
        <v>3583.2169090000002</v>
      </c>
      <c r="E35" s="297">
        <f t="shared" si="0"/>
        <v>28.334784983393963</v>
      </c>
      <c r="F35" s="44"/>
    </row>
    <row r="36" spans="1:6" s="16" customFormat="1" x14ac:dyDescent="0.25">
      <c r="A36" s="125">
        <v>8</v>
      </c>
      <c r="B36" s="33" t="s">
        <v>91</v>
      </c>
      <c r="C36" s="230">
        <v>659090.4</v>
      </c>
      <c r="D36" s="230">
        <v>358917.67556300003</v>
      </c>
      <c r="E36" s="297">
        <f t="shared" si="0"/>
        <v>54.456516975971738</v>
      </c>
      <c r="F36" s="44"/>
    </row>
    <row r="37" spans="1:6" s="36" customFormat="1" ht="15.75" customHeight="1" x14ac:dyDescent="0.25">
      <c r="A37" s="125">
        <v>9</v>
      </c>
      <c r="B37" s="33" t="s">
        <v>93</v>
      </c>
      <c r="C37" s="230">
        <v>357001</v>
      </c>
      <c r="D37" s="230">
        <v>355271.10638299998</v>
      </c>
      <c r="E37" s="297">
        <f t="shared" si="0"/>
        <v>99.515437318943071</v>
      </c>
      <c r="F37" s="44"/>
    </row>
    <row r="38" spans="1:6" s="36" customFormat="1" x14ac:dyDescent="0.25">
      <c r="A38" s="125">
        <v>10</v>
      </c>
      <c r="B38" s="33" t="s">
        <v>95</v>
      </c>
      <c r="C38" s="230">
        <v>87640</v>
      </c>
      <c r="D38" s="230">
        <v>21779.118234000001</v>
      </c>
      <c r="E38" s="294">
        <f t="shared" si="0"/>
        <v>24.850659783204019</v>
      </c>
      <c r="F38" s="44"/>
    </row>
    <row r="39" spans="1:6" s="36" customFormat="1" x14ac:dyDescent="0.25">
      <c r="A39" s="125">
        <v>11</v>
      </c>
      <c r="B39" s="33" t="s">
        <v>506</v>
      </c>
      <c r="C39" s="230">
        <v>40900.86</v>
      </c>
      <c r="D39" s="230">
        <v>103942.533979</v>
      </c>
      <c r="E39" s="294">
        <f t="shared" si="0"/>
        <v>254.1328812621544</v>
      </c>
      <c r="F39" s="44"/>
    </row>
    <row r="40" spans="1:6" s="36" customFormat="1" ht="16.5" customHeight="1" x14ac:dyDescent="0.25">
      <c r="A40" s="85" t="s">
        <v>29</v>
      </c>
      <c r="B40" s="86" t="s">
        <v>636</v>
      </c>
      <c r="C40" s="215">
        <v>2200</v>
      </c>
      <c r="D40" s="215">
        <v>1649.2660000000001</v>
      </c>
      <c r="E40" s="294">
        <f t="shared" si="0"/>
        <v>74.966636363636368</v>
      </c>
      <c r="F40" s="44"/>
    </row>
    <row r="41" spans="1:6" x14ac:dyDescent="0.25">
      <c r="A41" s="85" t="s">
        <v>56</v>
      </c>
      <c r="B41" s="86" t="s">
        <v>23</v>
      </c>
      <c r="C41" s="215">
        <v>1000</v>
      </c>
      <c r="D41" s="215">
        <v>1000</v>
      </c>
      <c r="E41" s="294">
        <f t="shared" si="0"/>
        <v>100</v>
      </c>
      <c r="F41" s="44"/>
    </row>
    <row r="42" spans="1:6" x14ac:dyDescent="0.25">
      <c r="A42" s="85" t="s">
        <v>73</v>
      </c>
      <c r="B42" s="86" t="s">
        <v>24</v>
      </c>
      <c r="C42" s="215">
        <v>74046.002868228534</v>
      </c>
      <c r="D42" s="215"/>
      <c r="E42" s="294">
        <f t="shared" si="0"/>
        <v>0</v>
      </c>
      <c r="F42" s="44"/>
    </row>
    <row r="43" spans="1:6" x14ac:dyDescent="0.25">
      <c r="A43" s="85" t="s">
        <v>74</v>
      </c>
      <c r="B43" s="86" t="s">
        <v>243</v>
      </c>
      <c r="C43" s="215">
        <v>77200</v>
      </c>
      <c r="D43" s="215">
        <v>12206.46313</v>
      </c>
      <c r="E43" s="294">
        <f t="shared" si="0"/>
        <v>15.811480738341968</v>
      </c>
      <c r="F43" s="44"/>
    </row>
    <row r="44" spans="1:6" ht="78.75" x14ac:dyDescent="0.25">
      <c r="A44" s="85" t="s">
        <v>383</v>
      </c>
      <c r="B44" s="86" t="s">
        <v>436</v>
      </c>
      <c r="C44" s="215">
        <v>1178860</v>
      </c>
      <c r="D44" s="215">
        <v>109404.806157</v>
      </c>
      <c r="E44" s="227">
        <f t="shared" si="0"/>
        <v>9.2805597065809327</v>
      </c>
      <c r="F44" s="44"/>
    </row>
    <row r="45" spans="1:6" x14ac:dyDescent="0.25">
      <c r="A45" s="85" t="s">
        <v>384</v>
      </c>
      <c r="B45" s="86" t="s">
        <v>629</v>
      </c>
      <c r="C45" s="215"/>
      <c r="D45" s="215">
        <v>8583.1678499999998</v>
      </c>
      <c r="E45" s="292">
        <f t="shared" si="0"/>
        <v>0</v>
      </c>
    </row>
    <row r="46" spans="1:6" x14ac:dyDescent="0.25">
      <c r="A46" s="85" t="s">
        <v>509</v>
      </c>
      <c r="B46" s="86" t="s">
        <v>437</v>
      </c>
      <c r="C46" s="215"/>
      <c r="D46" s="215">
        <v>23104</v>
      </c>
      <c r="E46" s="292">
        <f t="shared" si="0"/>
        <v>0</v>
      </c>
    </row>
    <row r="47" spans="1:6" x14ac:dyDescent="0.25">
      <c r="A47" s="85" t="s">
        <v>31</v>
      </c>
      <c r="B47" s="86" t="s">
        <v>76</v>
      </c>
      <c r="C47" s="215"/>
      <c r="D47" s="215">
        <v>2859544.5055379998</v>
      </c>
      <c r="E47" s="292">
        <f t="shared" si="0"/>
        <v>0</v>
      </c>
    </row>
    <row r="48" spans="1:6" x14ac:dyDescent="0.25">
      <c r="A48" s="91" t="s">
        <v>32</v>
      </c>
      <c r="B48" s="92" t="s">
        <v>226</v>
      </c>
      <c r="C48" s="291"/>
      <c r="D48" s="291">
        <v>122849.305433</v>
      </c>
      <c r="E48" s="298">
        <f t="shared" si="0"/>
        <v>0</v>
      </c>
    </row>
  </sheetData>
  <mergeCells count="2">
    <mergeCell ref="A3:E3"/>
    <mergeCell ref="A4:E4"/>
  </mergeCells>
  <dataValidations count="3">
    <dataValidation allowBlank="1" showInputMessage="1" showErrorMessage="1" prompt="Chưa bao gồm bổ sung mục tiêu NS cấp dưới" sqref="D8" xr:uid="{C56EF8B6-3EE3-4EE5-B2BF-568FB8E80B5E}"/>
    <dataValidation allowBlank="1" showInputMessage="1" showErrorMessage="1" prompt="Chưa bao gồm dự toán bổ sung mục tiêu 247.854 triệu đồng" sqref="C8" xr:uid="{DEA3C6D7-7F98-4749-941C-F1F32A9B4391}"/>
    <dataValidation allowBlank="1" showInputMessage="1" showErrorMessage="1" prompt="Chưa bao gồm CTMTQG" sqref="C13" xr:uid="{042F9EDF-2E2D-4D9E-BF93-B215F28DE53D}"/>
  </dataValidations>
  <printOptions horizontalCentered="1"/>
  <pageMargins left="0" right="0" top="0.75" bottom="0.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16"/>
  <sheetViews>
    <sheetView zoomScale="70" zoomScaleNormal="70" workbookViewId="0">
      <pane xSplit="2" ySplit="10" topLeftCell="C23" activePane="bottomRight" state="frozen"/>
      <selection pane="topRight" activeCell="C1" sqref="C1"/>
      <selection pane="bottomLeft" activeCell="A10" sqref="A10"/>
      <selection pane="bottomRight" activeCell="A4" sqref="A4:AE4"/>
    </sheetView>
  </sheetViews>
  <sheetFormatPr defaultColWidth="9.140625" defaultRowHeight="15.75" outlineLevelRow="1" outlineLevelCol="1" x14ac:dyDescent="0.25"/>
  <cols>
    <col min="1" max="1" width="6.42578125" style="9" customWidth="1"/>
    <col min="2" max="2" width="45.140625" style="9" customWidth="1"/>
    <col min="3" max="3" width="14.5703125" style="9" bestFit="1" customWidth="1"/>
    <col min="4" max="5" width="12.42578125" style="9" bestFit="1" customWidth="1"/>
    <col min="6" max="8" width="17.140625" style="9" hidden="1" customWidth="1" outlineLevel="1"/>
    <col min="9" max="9" width="13.42578125" style="9" customWidth="1" collapsed="1"/>
    <col min="10" max="10" width="18.7109375" style="9" customWidth="1"/>
    <col min="11" max="11" width="13.85546875" style="9" customWidth="1"/>
    <col min="12" max="12" width="11.85546875" style="9" customWidth="1"/>
    <col min="13" max="13" width="10.42578125" style="9" customWidth="1"/>
    <col min="14" max="14" width="14" style="9" customWidth="1"/>
    <col min="15" max="15" width="12.42578125" style="9" customWidth="1"/>
    <col min="16" max="16" width="12.85546875" style="9" customWidth="1"/>
    <col min="17" max="17" width="18.85546875" style="9" hidden="1" customWidth="1" outlineLevel="1"/>
    <col min="18" max="18" width="18.42578125" style="9" hidden="1" customWidth="1" outlineLevel="1"/>
    <col min="19" max="19" width="11.85546875" style="9" customWidth="1" collapsed="1"/>
    <col min="20" max="20" width="20.5703125" style="9" customWidth="1"/>
    <col min="21" max="21" width="13" style="9" customWidth="1"/>
    <col min="22" max="22" width="12.42578125" style="9" customWidth="1"/>
    <col min="23" max="23" width="11.140625" style="9" customWidth="1"/>
    <col min="24" max="24" width="15.42578125" style="9" customWidth="1"/>
    <col min="25" max="25" width="13.5703125" style="9" hidden="1" customWidth="1" outlineLevel="1"/>
    <col min="26" max="26" width="11.5703125" style="9" hidden="1" customWidth="1" outlineLevel="1"/>
    <col min="27" max="27" width="12.42578125" style="9" customWidth="1" collapsed="1"/>
    <col min="28" max="28" width="9.42578125" style="9" customWidth="1"/>
    <col min="29" max="29" width="10.5703125" style="9" customWidth="1"/>
    <col min="30" max="30" width="9.5703125" style="9" customWidth="1"/>
    <col min="31" max="31" width="11.42578125" style="9" customWidth="1"/>
    <col min="32" max="32" width="9.140625" style="96"/>
    <col min="33" max="33" width="12.5703125" style="9" bestFit="1" customWidth="1"/>
    <col min="34" max="34" width="20.140625" style="9" bestFit="1" customWidth="1"/>
    <col min="35" max="256" width="9.140625" style="9"/>
    <col min="257" max="257" width="5.42578125" style="9" customWidth="1"/>
    <col min="258" max="258" width="45.140625" style="9" customWidth="1"/>
    <col min="259" max="259" width="15.140625" style="9" customWidth="1"/>
    <col min="260" max="260" width="16.42578125" style="9" customWidth="1"/>
    <col min="261" max="261" width="17.140625" style="9" customWidth="1"/>
    <col min="262" max="264" width="0" style="9" hidden="1" customWidth="1"/>
    <col min="265" max="266" width="15.85546875" style="9" customWidth="1"/>
    <col min="267" max="267" width="11.140625" style="9" customWidth="1"/>
    <col min="268" max="268" width="11.85546875" style="9" customWidth="1"/>
    <col min="269" max="269" width="10.42578125" style="9" customWidth="1"/>
    <col min="270" max="270" width="16.42578125" style="9" customWidth="1"/>
    <col min="271" max="271" width="14.140625" style="9" customWidth="1"/>
    <col min="272" max="272" width="15.85546875" style="9" customWidth="1"/>
    <col min="273" max="274" width="0" style="9" hidden="1" customWidth="1"/>
    <col min="275" max="275" width="11.85546875" style="9" customWidth="1"/>
    <col min="276" max="276" width="15.85546875" style="9" customWidth="1"/>
    <col min="277" max="277" width="15.42578125" style="9" customWidth="1"/>
    <col min="278" max="278" width="12.42578125" style="9" customWidth="1"/>
    <col min="279" max="279" width="11.140625" style="9" customWidth="1"/>
    <col min="280" max="280" width="15.42578125" style="9" customWidth="1"/>
    <col min="281" max="282" width="0" style="9" hidden="1" customWidth="1"/>
    <col min="283" max="283" width="15" style="9" customWidth="1"/>
    <col min="284" max="284" width="9.42578125" style="9" customWidth="1"/>
    <col min="285" max="285" width="10.5703125" style="9" customWidth="1"/>
    <col min="286" max="286" width="9.5703125" style="9" customWidth="1"/>
    <col min="287" max="287" width="11.42578125" style="9" customWidth="1"/>
    <col min="288" max="288" width="9.140625" style="9"/>
    <col min="289" max="289" width="12.5703125" style="9" bestFit="1" customWidth="1"/>
    <col min="290" max="290" width="20.140625" style="9" bestFit="1" customWidth="1"/>
    <col min="291" max="512" width="9.140625" style="9"/>
    <col min="513" max="513" width="5.42578125" style="9" customWidth="1"/>
    <col min="514" max="514" width="45.140625" style="9" customWidth="1"/>
    <col min="515" max="515" width="15.140625" style="9" customWidth="1"/>
    <col min="516" max="516" width="16.42578125" style="9" customWidth="1"/>
    <col min="517" max="517" width="17.140625" style="9" customWidth="1"/>
    <col min="518" max="520" width="0" style="9" hidden="1" customWidth="1"/>
    <col min="521" max="522" width="15.85546875" style="9" customWidth="1"/>
    <col min="523" max="523" width="11.140625" style="9" customWidth="1"/>
    <col min="524" max="524" width="11.85546875" style="9" customWidth="1"/>
    <col min="525" max="525" width="10.42578125" style="9" customWidth="1"/>
    <col min="526" max="526" width="16.42578125" style="9" customWidth="1"/>
    <col min="527" max="527" width="14.140625" style="9" customWidth="1"/>
    <col min="528" max="528" width="15.85546875" style="9" customWidth="1"/>
    <col min="529" max="530" width="0" style="9" hidden="1" customWidth="1"/>
    <col min="531" max="531" width="11.85546875" style="9" customWidth="1"/>
    <col min="532" max="532" width="15.85546875" style="9" customWidth="1"/>
    <col min="533" max="533" width="15.42578125" style="9" customWidth="1"/>
    <col min="534" max="534" width="12.42578125" style="9" customWidth="1"/>
    <col min="535" max="535" width="11.140625" style="9" customWidth="1"/>
    <col min="536" max="536" width="15.42578125" style="9" customWidth="1"/>
    <col min="537" max="538" width="0" style="9" hidden="1" customWidth="1"/>
    <col min="539" max="539" width="15" style="9" customWidth="1"/>
    <col min="540" max="540" width="9.42578125" style="9" customWidth="1"/>
    <col min="541" max="541" width="10.5703125" style="9" customWidth="1"/>
    <col min="542" max="542" width="9.5703125" style="9" customWidth="1"/>
    <col min="543" max="543" width="11.42578125" style="9" customWidth="1"/>
    <col min="544" max="544" width="9.140625" style="9"/>
    <col min="545" max="545" width="12.5703125" style="9" bestFit="1" customWidth="1"/>
    <col min="546" max="546" width="20.140625" style="9" bestFit="1" customWidth="1"/>
    <col min="547" max="768" width="9.140625" style="9"/>
    <col min="769" max="769" width="5.42578125" style="9" customWidth="1"/>
    <col min="770" max="770" width="45.140625" style="9" customWidth="1"/>
    <col min="771" max="771" width="15.140625" style="9" customWidth="1"/>
    <col min="772" max="772" width="16.42578125" style="9" customWidth="1"/>
    <col min="773" max="773" width="17.140625" style="9" customWidth="1"/>
    <col min="774" max="776" width="0" style="9" hidden="1" customWidth="1"/>
    <col min="777" max="778" width="15.85546875" style="9" customWidth="1"/>
    <col min="779" max="779" width="11.140625" style="9" customWidth="1"/>
    <col min="780" max="780" width="11.85546875" style="9" customWidth="1"/>
    <col min="781" max="781" width="10.42578125" style="9" customWidth="1"/>
    <col min="782" max="782" width="16.42578125" style="9" customWidth="1"/>
    <col min="783" max="783" width="14.140625" style="9" customWidth="1"/>
    <col min="784" max="784" width="15.85546875" style="9" customWidth="1"/>
    <col min="785" max="786" width="0" style="9" hidden="1" customWidth="1"/>
    <col min="787" max="787" width="11.85546875" style="9" customWidth="1"/>
    <col min="788" max="788" width="15.85546875" style="9" customWidth="1"/>
    <col min="789" max="789" width="15.42578125" style="9" customWidth="1"/>
    <col min="790" max="790" width="12.42578125" style="9" customWidth="1"/>
    <col min="791" max="791" width="11.140625" style="9" customWidth="1"/>
    <col min="792" max="792" width="15.42578125" style="9" customWidth="1"/>
    <col min="793" max="794" width="0" style="9" hidden="1" customWidth="1"/>
    <col min="795" max="795" width="15" style="9" customWidth="1"/>
    <col min="796" max="796" width="9.42578125" style="9" customWidth="1"/>
    <col min="797" max="797" width="10.5703125" style="9" customWidth="1"/>
    <col min="798" max="798" width="9.5703125" style="9" customWidth="1"/>
    <col min="799" max="799" width="11.42578125" style="9" customWidth="1"/>
    <col min="800" max="800" width="9.140625" style="9"/>
    <col min="801" max="801" width="12.5703125" style="9" bestFit="1" customWidth="1"/>
    <col min="802" max="802" width="20.140625" style="9" bestFit="1" customWidth="1"/>
    <col min="803" max="1024" width="9.140625" style="9"/>
    <col min="1025" max="1025" width="5.42578125" style="9" customWidth="1"/>
    <col min="1026" max="1026" width="45.140625" style="9" customWidth="1"/>
    <col min="1027" max="1027" width="15.140625" style="9" customWidth="1"/>
    <col min="1028" max="1028" width="16.42578125" style="9" customWidth="1"/>
    <col min="1029" max="1029" width="17.140625" style="9" customWidth="1"/>
    <col min="1030" max="1032" width="0" style="9" hidden="1" customWidth="1"/>
    <col min="1033" max="1034" width="15.85546875" style="9" customWidth="1"/>
    <col min="1035" max="1035" width="11.140625" style="9" customWidth="1"/>
    <col min="1036" max="1036" width="11.85546875" style="9" customWidth="1"/>
    <col min="1037" max="1037" width="10.42578125" style="9" customWidth="1"/>
    <col min="1038" max="1038" width="16.42578125" style="9" customWidth="1"/>
    <col min="1039" max="1039" width="14.140625" style="9" customWidth="1"/>
    <col min="1040" max="1040" width="15.85546875" style="9" customWidth="1"/>
    <col min="1041" max="1042" width="0" style="9" hidden="1" customWidth="1"/>
    <col min="1043" max="1043" width="11.85546875" style="9" customWidth="1"/>
    <col min="1044" max="1044" width="15.85546875" style="9" customWidth="1"/>
    <col min="1045" max="1045" width="15.42578125" style="9" customWidth="1"/>
    <col min="1046" max="1046" width="12.42578125" style="9" customWidth="1"/>
    <col min="1047" max="1047" width="11.140625" style="9" customWidth="1"/>
    <col min="1048" max="1048" width="15.42578125" style="9" customWidth="1"/>
    <col min="1049" max="1050" width="0" style="9" hidden="1" customWidth="1"/>
    <col min="1051" max="1051" width="15" style="9" customWidth="1"/>
    <col min="1052" max="1052" width="9.42578125" style="9" customWidth="1"/>
    <col min="1053" max="1053" width="10.5703125" style="9" customWidth="1"/>
    <col min="1054" max="1054" width="9.5703125" style="9" customWidth="1"/>
    <col min="1055" max="1055" width="11.42578125" style="9" customWidth="1"/>
    <col min="1056" max="1056" width="9.140625" style="9"/>
    <col min="1057" max="1057" width="12.5703125" style="9" bestFit="1" customWidth="1"/>
    <col min="1058" max="1058" width="20.140625" style="9" bestFit="1" customWidth="1"/>
    <col min="1059" max="1280" width="9.140625" style="9"/>
    <col min="1281" max="1281" width="5.42578125" style="9" customWidth="1"/>
    <col min="1282" max="1282" width="45.140625" style="9" customWidth="1"/>
    <col min="1283" max="1283" width="15.140625" style="9" customWidth="1"/>
    <col min="1284" max="1284" width="16.42578125" style="9" customWidth="1"/>
    <col min="1285" max="1285" width="17.140625" style="9" customWidth="1"/>
    <col min="1286" max="1288" width="0" style="9" hidden="1" customWidth="1"/>
    <col min="1289" max="1290" width="15.85546875" style="9" customWidth="1"/>
    <col min="1291" max="1291" width="11.140625" style="9" customWidth="1"/>
    <col min="1292" max="1292" width="11.85546875" style="9" customWidth="1"/>
    <col min="1293" max="1293" width="10.42578125" style="9" customWidth="1"/>
    <col min="1294" max="1294" width="16.42578125" style="9" customWidth="1"/>
    <col min="1295" max="1295" width="14.140625" style="9" customWidth="1"/>
    <col min="1296" max="1296" width="15.85546875" style="9" customWidth="1"/>
    <col min="1297" max="1298" width="0" style="9" hidden="1" customWidth="1"/>
    <col min="1299" max="1299" width="11.85546875" style="9" customWidth="1"/>
    <col min="1300" max="1300" width="15.85546875" style="9" customWidth="1"/>
    <col min="1301" max="1301" width="15.42578125" style="9" customWidth="1"/>
    <col min="1302" max="1302" width="12.42578125" style="9" customWidth="1"/>
    <col min="1303" max="1303" width="11.140625" style="9" customWidth="1"/>
    <col min="1304" max="1304" width="15.42578125" style="9" customWidth="1"/>
    <col min="1305" max="1306" width="0" style="9" hidden="1" customWidth="1"/>
    <col min="1307" max="1307" width="15" style="9" customWidth="1"/>
    <col min="1308" max="1308" width="9.42578125" style="9" customWidth="1"/>
    <col min="1309" max="1309" width="10.5703125" style="9" customWidth="1"/>
    <col min="1310" max="1310" width="9.5703125" style="9" customWidth="1"/>
    <col min="1311" max="1311" width="11.42578125" style="9" customWidth="1"/>
    <col min="1312" max="1312" width="9.140625" style="9"/>
    <col min="1313" max="1313" width="12.5703125" style="9" bestFit="1" customWidth="1"/>
    <col min="1314" max="1314" width="20.140625" style="9" bestFit="1" customWidth="1"/>
    <col min="1315" max="1536" width="9.140625" style="9"/>
    <col min="1537" max="1537" width="5.42578125" style="9" customWidth="1"/>
    <col min="1538" max="1538" width="45.140625" style="9" customWidth="1"/>
    <col min="1539" max="1539" width="15.140625" style="9" customWidth="1"/>
    <col min="1540" max="1540" width="16.42578125" style="9" customWidth="1"/>
    <col min="1541" max="1541" width="17.140625" style="9" customWidth="1"/>
    <col min="1542" max="1544" width="0" style="9" hidden="1" customWidth="1"/>
    <col min="1545" max="1546" width="15.85546875" style="9" customWidth="1"/>
    <col min="1547" max="1547" width="11.140625" style="9" customWidth="1"/>
    <col min="1548" max="1548" width="11.85546875" style="9" customWidth="1"/>
    <col min="1549" max="1549" width="10.42578125" style="9" customWidth="1"/>
    <col min="1550" max="1550" width="16.42578125" style="9" customWidth="1"/>
    <col min="1551" max="1551" width="14.140625" style="9" customWidth="1"/>
    <col min="1552" max="1552" width="15.85546875" style="9" customWidth="1"/>
    <col min="1553" max="1554" width="0" style="9" hidden="1" customWidth="1"/>
    <col min="1555" max="1555" width="11.85546875" style="9" customWidth="1"/>
    <col min="1556" max="1556" width="15.85546875" style="9" customWidth="1"/>
    <col min="1557" max="1557" width="15.42578125" style="9" customWidth="1"/>
    <col min="1558" max="1558" width="12.42578125" style="9" customWidth="1"/>
    <col min="1559" max="1559" width="11.140625" style="9" customWidth="1"/>
    <col min="1560" max="1560" width="15.42578125" style="9" customWidth="1"/>
    <col min="1561" max="1562" width="0" style="9" hidden="1" customWidth="1"/>
    <col min="1563" max="1563" width="15" style="9" customWidth="1"/>
    <col min="1564" max="1564" width="9.42578125" style="9" customWidth="1"/>
    <col min="1565" max="1565" width="10.5703125" style="9" customWidth="1"/>
    <col min="1566" max="1566" width="9.5703125" style="9" customWidth="1"/>
    <col min="1567" max="1567" width="11.42578125" style="9" customWidth="1"/>
    <col min="1568" max="1568" width="9.140625" style="9"/>
    <col min="1569" max="1569" width="12.5703125" style="9" bestFit="1" customWidth="1"/>
    <col min="1570" max="1570" width="20.140625" style="9" bestFit="1" customWidth="1"/>
    <col min="1571" max="1792" width="9.140625" style="9"/>
    <col min="1793" max="1793" width="5.42578125" style="9" customWidth="1"/>
    <col min="1794" max="1794" width="45.140625" style="9" customWidth="1"/>
    <col min="1795" max="1795" width="15.140625" style="9" customWidth="1"/>
    <col min="1796" max="1796" width="16.42578125" style="9" customWidth="1"/>
    <col min="1797" max="1797" width="17.140625" style="9" customWidth="1"/>
    <col min="1798" max="1800" width="0" style="9" hidden="1" customWidth="1"/>
    <col min="1801" max="1802" width="15.85546875" style="9" customWidth="1"/>
    <col min="1803" max="1803" width="11.140625" style="9" customWidth="1"/>
    <col min="1804" max="1804" width="11.85546875" style="9" customWidth="1"/>
    <col min="1805" max="1805" width="10.42578125" style="9" customWidth="1"/>
    <col min="1806" max="1806" width="16.42578125" style="9" customWidth="1"/>
    <col min="1807" max="1807" width="14.140625" style="9" customWidth="1"/>
    <col min="1808" max="1808" width="15.85546875" style="9" customWidth="1"/>
    <col min="1809" max="1810" width="0" style="9" hidden="1" customWidth="1"/>
    <col min="1811" max="1811" width="11.85546875" style="9" customWidth="1"/>
    <col min="1812" max="1812" width="15.85546875" style="9" customWidth="1"/>
    <col min="1813" max="1813" width="15.42578125" style="9" customWidth="1"/>
    <col min="1814" max="1814" width="12.42578125" style="9" customWidth="1"/>
    <col min="1815" max="1815" width="11.140625" style="9" customWidth="1"/>
    <col min="1816" max="1816" width="15.42578125" style="9" customWidth="1"/>
    <col min="1817" max="1818" width="0" style="9" hidden="1" customWidth="1"/>
    <col min="1819" max="1819" width="15" style="9" customWidth="1"/>
    <col min="1820" max="1820" width="9.42578125" style="9" customWidth="1"/>
    <col min="1821" max="1821" width="10.5703125" style="9" customWidth="1"/>
    <col min="1822" max="1822" width="9.5703125" style="9" customWidth="1"/>
    <col min="1823" max="1823" width="11.42578125" style="9" customWidth="1"/>
    <col min="1824" max="1824" width="9.140625" style="9"/>
    <col min="1825" max="1825" width="12.5703125" style="9" bestFit="1" customWidth="1"/>
    <col min="1826" max="1826" width="20.140625" style="9" bestFit="1" customWidth="1"/>
    <col min="1827" max="2048" width="9.140625" style="9"/>
    <col min="2049" max="2049" width="5.42578125" style="9" customWidth="1"/>
    <col min="2050" max="2050" width="45.140625" style="9" customWidth="1"/>
    <col min="2051" max="2051" width="15.140625" style="9" customWidth="1"/>
    <col min="2052" max="2052" width="16.42578125" style="9" customWidth="1"/>
    <col min="2053" max="2053" width="17.140625" style="9" customWidth="1"/>
    <col min="2054" max="2056" width="0" style="9" hidden="1" customWidth="1"/>
    <col min="2057" max="2058" width="15.85546875" style="9" customWidth="1"/>
    <col min="2059" max="2059" width="11.140625" style="9" customWidth="1"/>
    <col min="2060" max="2060" width="11.85546875" style="9" customWidth="1"/>
    <col min="2061" max="2061" width="10.42578125" style="9" customWidth="1"/>
    <col min="2062" max="2062" width="16.42578125" style="9" customWidth="1"/>
    <col min="2063" max="2063" width="14.140625" style="9" customWidth="1"/>
    <col min="2064" max="2064" width="15.85546875" style="9" customWidth="1"/>
    <col min="2065" max="2066" width="0" style="9" hidden="1" customWidth="1"/>
    <col min="2067" max="2067" width="11.85546875" style="9" customWidth="1"/>
    <col min="2068" max="2068" width="15.85546875" style="9" customWidth="1"/>
    <col min="2069" max="2069" width="15.42578125" style="9" customWidth="1"/>
    <col min="2070" max="2070" width="12.42578125" style="9" customWidth="1"/>
    <col min="2071" max="2071" width="11.140625" style="9" customWidth="1"/>
    <col min="2072" max="2072" width="15.42578125" style="9" customWidth="1"/>
    <col min="2073" max="2074" width="0" style="9" hidden="1" customWidth="1"/>
    <col min="2075" max="2075" width="15" style="9" customWidth="1"/>
    <col min="2076" max="2076" width="9.42578125" style="9" customWidth="1"/>
    <col min="2077" max="2077" width="10.5703125" style="9" customWidth="1"/>
    <col min="2078" max="2078" width="9.5703125" style="9" customWidth="1"/>
    <col min="2079" max="2079" width="11.42578125" style="9" customWidth="1"/>
    <col min="2080" max="2080" width="9.140625" style="9"/>
    <col min="2081" max="2081" width="12.5703125" style="9" bestFit="1" customWidth="1"/>
    <col min="2082" max="2082" width="20.140625" style="9" bestFit="1" customWidth="1"/>
    <col min="2083" max="2304" width="9.140625" style="9"/>
    <col min="2305" max="2305" width="5.42578125" style="9" customWidth="1"/>
    <col min="2306" max="2306" width="45.140625" style="9" customWidth="1"/>
    <col min="2307" max="2307" width="15.140625" style="9" customWidth="1"/>
    <col min="2308" max="2308" width="16.42578125" style="9" customWidth="1"/>
    <col min="2309" max="2309" width="17.140625" style="9" customWidth="1"/>
    <col min="2310" max="2312" width="0" style="9" hidden="1" customWidth="1"/>
    <col min="2313" max="2314" width="15.85546875" style="9" customWidth="1"/>
    <col min="2315" max="2315" width="11.140625" style="9" customWidth="1"/>
    <col min="2316" max="2316" width="11.85546875" style="9" customWidth="1"/>
    <col min="2317" max="2317" width="10.42578125" style="9" customWidth="1"/>
    <col min="2318" max="2318" width="16.42578125" style="9" customWidth="1"/>
    <col min="2319" max="2319" width="14.140625" style="9" customWidth="1"/>
    <col min="2320" max="2320" width="15.85546875" style="9" customWidth="1"/>
    <col min="2321" max="2322" width="0" style="9" hidden="1" customWidth="1"/>
    <col min="2323" max="2323" width="11.85546875" style="9" customWidth="1"/>
    <col min="2324" max="2324" width="15.85546875" style="9" customWidth="1"/>
    <col min="2325" max="2325" width="15.42578125" style="9" customWidth="1"/>
    <col min="2326" max="2326" width="12.42578125" style="9" customWidth="1"/>
    <col min="2327" max="2327" width="11.140625" style="9" customWidth="1"/>
    <col min="2328" max="2328" width="15.42578125" style="9" customWidth="1"/>
    <col min="2329" max="2330" width="0" style="9" hidden="1" customWidth="1"/>
    <col min="2331" max="2331" width="15" style="9" customWidth="1"/>
    <col min="2332" max="2332" width="9.42578125" style="9" customWidth="1"/>
    <col min="2333" max="2333" width="10.5703125" style="9" customWidth="1"/>
    <col min="2334" max="2334" width="9.5703125" style="9" customWidth="1"/>
    <col min="2335" max="2335" width="11.42578125" style="9" customWidth="1"/>
    <col min="2336" max="2336" width="9.140625" style="9"/>
    <col min="2337" max="2337" width="12.5703125" style="9" bestFit="1" customWidth="1"/>
    <col min="2338" max="2338" width="20.140625" style="9" bestFit="1" customWidth="1"/>
    <col min="2339" max="2560" width="9.140625" style="9"/>
    <col min="2561" max="2561" width="5.42578125" style="9" customWidth="1"/>
    <col min="2562" max="2562" width="45.140625" style="9" customWidth="1"/>
    <col min="2563" max="2563" width="15.140625" style="9" customWidth="1"/>
    <col min="2564" max="2564" width="16.42578125" style="9" customWidth="1"/>
    <col min="2565" max="2565" width="17.140625" style="9" customWidth="1"/>
    <col min="2566" max="2568" width="0" style="9" hidden="1" customWidth="1"/>
    <col min="2569" max="2570" width="15.85546875" style="9" customWidth="1"/>
    <col min="2571" max="2571" width="11.140625" style="9" customWidth="1"/>
    <col min="2572" max="2572" width="11.85546875" style="9" customWidth="1"/>
    <col min="2573" max="2573" width="10.42578125" style="9" customWidth="1"/>
    <col min="2574" max="2574" width="16.42578125" style="9" customWidth="1"/>
    <col min="2575" max="2575" width="14.140625" style="9" customWidth="1"/>
    <col min="2576" max="2576" width="15.85546875" style="9" customWidth="1"/>
    <col min="2577" max="2578" width="0" style="9" hidden="1" customWidth="1"/>
    <col min="2579" max="2579" width="11.85546875" style="9" customWidth="1"/>
    <col min="2580" max="2580" width="15.85546875" style="9" customWidth="1"/>
    <col min="2581" max="2581" width="15.42578125" style="9" customWidth="1"/>
    <col min="2582" max="2582" width="12.42578125" style="9" customWidth="1"/>
    <col min="2583" max="2583" width="11.140625" style="9" customWidth="1"/>
    <col min="2584" max="2584" width="15.42578125" style="9" customWidth="1"/>
    <col min="2585" max="2586" width="0" style="9" hidden="1" customWidth="1"/>
    <col min="2587" max="2587" width="15" style="9" customWidth="1"/>
    <col min="2588" max="2588" width="9.42578125" style="9" customWidth="1"/>
    <col min="2589" max="2589" width="10.5703125" style="9" customWidth="1"/>
    <col min="2590" max="2590" width="9.5703125" style="9" customWidth="1"/>
    <col min="2591" max="2591" width="11.42578125" style="9" customWidth="1"/>
    <col min="2592" max="2592" width="9.140625" style="9"/>
    <col min="2593" max="2593" width="12.5703125" style="9" bestFit="1" customWidth="1"/>
    <col min="2594" max="2594" width="20.140625" style="9" bestFit="1" customWidth="1"/>
    <col min="2595" max="2816" width="9.140625" style="9"/>
    <col min="2817" max="2817" width="5.42578125" style="9" customWidth="1"/>
    <col min="2818" max="2818" width="45.140625" style="9" customWidth="1"/>
    <col min="2819" max="2819" width="15.140625" style="9" customWidth="1"/>
    <col min="2820" max="2820" width="16.42578125" style="9" customWidth="1"/>
    <col min="2821" max="2821" width="17.140625" style="9" customWidth="1"/>
    <col min="2822" max="2824" width="0" style="9" hidden="1" customWidth="1"/>
    <col min="2825" max="2826" width="15.85546875" style="9" customWidth="1"/>
    <col min="2827" max="2827" width="11.140625" style="9" customWidth="1"/>
    <col min="2828" max="2828" width="11.85546875" style="9" customWidth="1"/>
    <col min="2829" max="2829" width="10.42578125" style="9" customWidth="1"/>
    <col min="2830" max="2830" width="16.42578125" style="9" customWidth="1"/>
    <col min="2831" max="2831" width="14.140625" style="9" customWidth="1"/>
    <col min="2832" max="2832" width="15.85546875" style="9" customWidth="1"/>
    <col min="2833" max="2834" width="0" style="9" hidden="1" customWidth="1"/>
    <col min="2835" max="2835" width="11.85546875" style="9" customWidth="1"/>
    <col min="2836" max="2836" width="15.85546875" style="9" customWidth="1"/>
    <col min="2837" max="2837" width="15.42578125" style="9" customWidth="1"/>
    <col min="2838" max="2838" width="12.42578125" style="9" customWidth="1"/>
    <col min="2839" max="2839" width="11.140625" style="9" customWidth="1"/>
    <col min="2840" max="2840" width="15.42578125" style="9" customWidth="1"/>
    <col min="2841" max="2842" width="0" style="9" hidden="1" customWidth="1"/>
    <col min="2843" max="2843" width="15" style="9" customWidth="1"/>
    <col min="2844" max="2844" width="9.42578125" style="9" customWidth="1"/>
    <col min="2845" max="2845" width="10.5703125" style="9" customWidth="1"/>
    <col min="2846" max="2846" width="9.5703125" style="9" customWidth="1"/>
    <col min="2847" max="2847" width="11.42578125" style="9" customWidth="1"/>
    <col min="2848" max="2848" width="9.140625" style="9"/>
    <col min="2849" max="2849" width="12.5703125" style="9" bestFit="1" customWidth="1"/>
    <col min="2850" max="2850" width="20.140625" style="9" bestFit="1" customWidth="1"/>
    <col min="2851" max="3072" width="9.140625" style="9"/>
    <col min="3073" max="3073" width="5.42578125" style="9" customWidth="1"/>
    <col min="3074" max="3074" width="45.140625" style="9" customWidth="1"/>
    <col min="3075" max="3075" width="15.140625" style="9" customWidth="1"/>
    <col min="3076" max="3076" width="16.42578125" style="9" customWidth="1"/>
    <col min="3077" max="3077" width="17.140625" style="9" customWidth="1"/>
    <col min="3078" max="3080" width="0" style="9" hidden="1" customWidth="1"/>
    <col min="3081" max="3082" width="15.85546875" style="9" customWidth="1"/>
    <col min="3083" max="3083" width="11.140625" style="9" customWidth="1"/>
    <col min="3084" max="3084" width="11.85546875" style="9" customWidth="1"/>
    <col min="3085" max="3085" width="10.42578125" style="9" customWidth="1"/>
    <col min="3086" max="3086" width="16.42578125" style="9" customWidth="1"/>
    <col min="3087" max="3087" width="14.140625" style="9" customWidth="1"/>
    <col min="3088" max="3088" width="15.85546875" style="9" customWidth="1"/>
    <col min="3089" max="3090" width="0" style="9" hidden="1" customWidth="1"/>
    <col min="3091" max="3091" width="11.85546875" style="9" customWidth="1"/>
    <col min="3092" max="3092" width="15.85546875" style="9" customWidth="1"/>
    <col min="3093" max="3093" width="15.42578125" style="9" customWidth="1"/>
    <col min="3094" max="3094" width="12.42578125" style="9" customWidth="1"/>
    <col min="3095" max="3095" width="11.140625" style="9" customWidth="1"/>
    <col min="3096" max="3096" width="15.42578125" style="9" customWidth="1"/>
    <col min="3097" max="3098" width="0" style="9" hidden="1" customWidth="1"/>
    <col min="3099" max="3099" width="15" style="9" customWidth="1"/>
    <col min="3100" max="3100" width="9.42578125" style="9" customWidth="1"/>
    <col min="3101" max="3101" width="10.5703125" style="9" customWidth="1"/>
    <col min="3102" max="3102" width="9.5703125" style="9" customWidth="1"/>
    <col min="3103" max="3103" width="11.42578125" style="9" customWidth="1"/>
    <col min="3104" max="3104" width="9.140625" style="9"/>
    <col min="3105" max="3105" width="12.5703125" style="9" bestFit="1" customWidth="1"/>
    <col min="3106" max="3106" width="20.140625" style="9" bestFit="1" customWidth="1"/>
    <col min="3107" max="3328" width="9.140625" style="9"/>
    <col min="3329" max="3329" width="5.42578125" style="9" customWidth="1"/>
    <col min="3330" max="3330" width="45.140625" style="9" customWidth="1"/>
    <col min="3331" max="3331" width="15.140625" style="9" customWidth="1"/>
    <col min="3332" max="3332" width="16.42578125" style="9" customWidth="1"/>
    <col min="3333" max="3333" width="17.140625" style="9" customWidth="1"/>
    <col min="3334" max="3336" width="0" style="9" hidden="1" customWidth="1"/>
    <col min="3337" max="3338" width="15.85546875" style="9" customWidth="1"/>
    <col min="3339" max="3339" width="11.140625" style="9" customWidth="1"/>
    <col min="3340" max="3340" width="11.85546875" style="9" customWidth="1"/>
    <col min="3341" max="3341" width="10.42578125" style="9" customWidth="1"/>
    <col min="3342" max="3342" width="16.42578125" style="9" customWidth="1"/>
    <col min="3343" max="3343" width="14.140625" style="9" customWidth="1"/>
    <col min="3344" max="3344" width="15.85546875" style="9" customWidth="1"/>
    <col min="3345" max="3346" width="0" style="9" hidden="1" customWidth="1"/>
    <col min="3347" max="3347" width="11.85546875" style="9" customWidth="1"/>
    <col min="3348" max="3348" width="15.85546875" style="9" customWidth="1"/>
    <col min="3349" max="3349" width="15.42578125" style="9" customWidth="1"/>
    <col min="3350" max="3350" width="12.42578125" style="9" customWidth="1"/>
    <col min="3351" max="3351" width="11.140625" style="9" customWidth="1"/>
    <col min="3352" max="3352" width="15.42578125" style="9" customWidth="1"/>
    <col min="3353" max="3354" width="0" style="9" hidden="1" customWidth="1"/>
    <col min="3355" max="3355" width="15" style="9" customWidth="1"/>
    <col min="3356" max="3356" width="9.42578125" style="9" customWidth="1"/>
    <col min="3357" max="3357" width="10.5703125" style="9" customWidth="1"/>
    <col min="3358" max="3358" width="9.5703125" style="9" customWidth="1"/>
    <col min="3359" max="3359" width="11.42578125" style="9" customWidth="1"/>
    <col min="3360" max="3360" width="9.140625" style="9"/>
    <col min="3361" max="3361" width="12.5703125" style="9" bestFit="1" customWidth="1"/>
    <col min="3362" max="3362" width="20.140625" style="9" bestFit="1" customWidth="1"/>
    <col min="3363" max="3584" width="9.140625" style="9"/>
    <col min="3585" max="3585" width="5.42578125" style="9" customWidth="1"/>
    <col min="3586" max="3586" width="45.140625" style="9" customWidth="1"/>
    <col min="3587" max="3587" width="15.140625" style="9" customWidth="1"/>
    <col min="3588" max="3588" width="16.42578125" style="9" customWidth="1"/>
    <col min="3589" max="3589" width="17.140625" style="9" customWidth="1"/>
    <col min="3590" max="3592" width="0" style="9" hidden="1" customWidth="1"/>
    <col min="3593" max="3594" width="15.85546875" style="9" customWidth="1"/>
    <col min="3595" max="3595" width="11.140625" style="9" customWidth="1"/>
    <col min="3596" max="3596" width="11.85546875" style="9" customWidth="1"/>
    <col min="3597" max="3597" width="10.42578125" style="9" customWidth="1"/>
    <col min="3598" max="3598" width="16.42578125" style="9" customWidth="1"/>
    <col min="3599" max="3599" width="14.140625" style="9" customWidth="1"/>
    <col min="3600" max="3600" width="15.85546875" style="9" customWidth="1"/>
    <col min="3601" max="3602" width="0" style="9" hidden="1" customWidth="1"/>
    <col min="3603" max="3603" width="11.85546875" style="9" customWidth="1"/>
    <col min="3604" max="3604" width="15.85546875" style="9" customWidth="1"/>
    <col min="3605" max="3605" width="15.42578125" style="9" customWidth="1"/>
    <col min="3606" max="3606" width="12.42578125" style="9" customWidth="1"/>
    <col min="3607" max="3607" width="11.140625" style="9" customWidth="1"/>
    <col min="3608" max="3608" width="15.42578125" style="9" customWidth="1"/>
    <col min="3609" max="3610" width="0" style="9" hidden="1" customWidth="1"/>
    <col min="3611" max="3611" width="15" style="9" customWidth="1"/>
    <col min="3612" max="3612" width="9.42578125" style="9" customWidth="1"/>
    <col min="3613" max="3613" width="10.5703125" style="9" customWidth="1"/>
    <col min="3614" max="3614" width="9.5703125" style="9" customWidth="1"/>
    <col min="3615" max="3615" width="11.42578125" style="9" customWidth="1"/>
    <col min="3616" max="3616" width="9.140625" style="9"/>
    <col min="3617" max="3617" width="12.5703125" style="9" bestFit="1" customWidth="1"/>
    <col min="3618" max="3618" width="20.140625" style="9" bestFit="1" customWidth="1"/>
    <col min="3619" max="3840" width="9.140625" style="9"/>
    <col min="3841" max="3841" width="5.42578125" style="9" customWidth="1"/>
    <col min="3842" max="3842" width="45.140625" style="9" customWidth="1"/>
    <col min="3843" max="3843" width="15.140625" style="9" customWidth="1"/>
    <col min="3844" max="3844" width="16.42578125" style="9" customWidth="1"/>
    <col min="3845" max="3845" width="17.140625" style="9" customWidth="1"/>
    <col min="3846" max="3848" width="0" style="9" hidden="1" customWidth="1"/>
    <col min="3849" max="3850" width="15.85546875" style="9" customWidth="1"/>
    <col min="3851" max="3851" width="11.140625" style="9" customWidth="1"/>
    <col min="3852" max="3852" width="11.85546875" style="9" customWidth="1"/>
    <col min="3853" max="3853" width="10.42578125" style="9" customWidth="1"/>
    <col min="3854" max="3854" width="16.42578125" style="9" customWidth="1"/>
    <col min="3855" max="3855" width="14.140625" style="9" customWidth="1"/>
    <col min="3856" max="3856" width="15.85546875" style="9" customWidth="1"/>
    <col min="3857" max="3858" width="0" style="9" hidden="1" customWidth="1"/>
    <col min="3859" max="3859" width="11.85546875" style="9" customWidth="1"/>
    <col min="3860" max="3860" width="15.85546875" style="9" customWidth="1"/>
    <col min="3861" max="3861" width="15.42578125" style="9" customWidth="1"/>
    <col min="3862" max="3862" width="12.42578125" style="9" customWidth="1"/>
    <col min="3863" max="3863" width="11.140625" style="9" customWidth="1"/>
    <col min="3864" max="3864" width="15.42578125" style="9" customWidth="1"/>
    <col min="3865" max="3866" width="0" style="9" hidden="1" customWidth="1"/>
    <col min="3867" max="3867" width="15" style="9" customWidth="1"/>
    <col min="3868" max="3868" width="9.42578125" style="9" customWidth="1"/>
    <col min="3869" max="3869" width="10.5703125" style="9" customWidth="1"/>
    <col min="3870" max="3870" width="9.5703125" style="9" customWidth="1"/>
    <col min="3871" max="3871" width="11.42578125" style="9" customWidth="1"/>
    <col min="3872" max="3872" width="9.140625" style="9"/>
    <col min="3873" max="3873" width="12.5703125" style="9" bestFit="1" customWidth="1"/>
    <col min="3874" max="3874" width="20.140625" style="9" bestFit="1" customWidth="1"/>
    <col min="3875" max="4096" width="9.140625" style="9"/>
    <col min="4097" max="4097" width="5.42578125" style="9" customWidth="1"/>
    <col min="4098" max="4098" width="45.140625" style="9" customWidth="1"/>
    <col min="4099" max="4099" width="15.140625" style="9" customWidth="1"/>
    <col min="4100" max="4100" width="16.42578125" style="9" customWidth="1"/>
    <col min="4101" max="4101" width="17.140625" style="9" customWidth="1"/>
    <col min="4102" max="4104" width="0" style="9" hidden="1" customWidth="1"/>
    <col min="4105" max="4106" width="15.85546875" style="9" customWidth="1"/>
    <col min="4107" max="4107" width="11.140625" style="9" customWidth="1"/>
    <col min="4108" max="4108" width="11.85546875" style="9" customWidth="1"/>
    <col min="4109" max="4109" width="10.42578125" style="9" customWidth="1"/>
    <col min="4110" max="4110" width="16.42578125" style="9" customWidth="1"/>
    <col min="4111" max="4111" width="14.140625" style="9" customWidth="1"/>
    <col min="4112" max="4112" width="15.85546875" style="9" customWidth="1"/>
    <col min="4113" max="4114" width="0" style="9" hidden="1" customWidth="1"/>
    <col min="4115" max="4115" width="11.85546875" style="9" customWidth="1"/>
    <col min="4116" max="4116" width="15.85546875" style="9" customWidth="1"/>
    <col min="4117" max="4117" width="15.42578125" style="9" customWidth="1"/>
    <col min="4118" max="4118" width="12.42578125" style="9" customWidth="1"/>
    <col min="4119" max="4119" width="11.140625" style="9" customWidth="1"/>
    <col min="4120" max="4120" width="15.42578125" style="9" customWidth="1"/>
    <col min="4121" max="4122" width="0" style="9" hidden="1" customWidth="1"/>
    <col min="4123" max="4123" width="15" style="9" customWidth="1"/>
    <col min="4124" max="4124" width="9.42578125" style="9" customWidth="1"/>
    <col min="4125" max="4125" width="10.5703125" style="9" customWidth="1"/>
    <col min="4126" max="4126" width="9.5703125" style="9" customWidth="1"/>
    <col min="4127" max="4127" width="11.42578125" style="9" customWidth="1"/>
    <col min="4128" max="4128" width="9.140625" style="9"/>
    <col min="4129" max="4129" width="12.5703125" style="9" bestFit="1" customWidth="1"/>
    <col min="4130" max="4130" width="20.140625" style="9" bestFit="1" customWidth="1"/>
    <col min="4131" max="4352" width="9.140625" style="9"/>
    <col min="4353" max="4353" width="5.42578125" style="9" customWidth="1"/>
    <col min="4354" max="4354" width="45.140625" style="9" customWidth="1"/>
    <col min="4355" max="4355" width="15.140625" style="9" customWidth="1"/>
    <col min="4356" max="4356" width="16.42578125" style="9" customWidth="1"/>
    <col min="4357" max="4357" width="17.140625" style="9" customWidth="1"/>
    <col min="4358" max="4360" width="0" style="9" hidden="1" customWidth="1"/>
    <col min="4361" max="4362" width="15.85546875" style="9" customWidth="1"/>
    <col min="4363" max="4363" width="11.140625" style="9" customWidth="1"/>
    <col min="4364" max="4364" width="11.85546875" style="9" customWidth="1"/>
    <col min="4365" max="4365" width="10.42578125" style="9" customWidth="1"/>
    <col min="4366" max="4366" width="16.42578125" style="9" customWidth="1"/>
    <col min="4367" max="4367" width="14.140625" style="9" customWidth="1"/>
    <col min="4368" max="4368" width="15.85546875" style="9" customWidth="1"/>
    <col min="4369" max="4370" width="0" style="9" hidden="1" customWidth="1"/>
    <col min="4371" max="4371" width="11.85546875" style="9" customWidth="1"/>
    <col min="4372" max="4372" width="15.85546875" style="9" customWidth="1"/>
    <col min="4373" max="4373" width="15.42578125" style="9" customWidth="1"/>
    <col min="4374" max="4374" width="12.42578125" style="9" customWidth="1"/>
    <col min="4375" max="4375" width="11.140625" style="9" customWidth="1"/>
    <col min="4376" max="4376" width="15.42578125" style="9" customWidth="1"/>
    <col min="4377" max="4378" width="0" style="9" hidden="1" customWidth="1"/>
    <col min="4379" max="4379" width="15" style="9" customWidth="1"/>
    <col min="4380" max="4380" width="9.42578125" style="9" customWidth="1"/>
    <col min="4381" max="4381" width="10.5703125" style="9" customWidth="1"/>
    <col min="4382" max="4382" width="9.5703125" style="9" customWidth="1"/>
    <col min="4383" max="4383" width="11.42578125" style="9" customWidth="1"/>
    <col min="4384" max="4384" width="9.140625" style="9"/>
    <col min="4385" max="4385" width="12.5703125" style="9" bestFit="1" customWidth="1"/>
    <col min="4386" max="4386" width="20.140625" style="9" bestFit="1" customWidth="1"/>
    <col min="4387" max="4608" width="9.140625" style="9"/>
    <col min="4609" max="4609" width="5.42578125" style="9" customWidth="1"/>
    <col min="4610" max="4610" width="45.140625" style="9" customWidth="1"/>
    <col min="4611" max="4611" width="15.140625" style="9" customWidth="1"/>
    <col min="4612" max="4612" width="16.42578125" style="9" customWidth="1"/>
    <col min="4613" max="4613" width="17.140625" style="9" customWidth="1"/>
    <col min="4614" max="4616" width="0" style="9" hidden="1" customWidth="1"/>
    <col min="4617" max="4618" width="15.85546875" style="9" customWidth="1"/>
    <col min="4619" max="4619" width="11.140625" style="9" customWidth="1"/>
    <col min="4620" max="4620" width="11.85546875" style="9" customWidth="1"/>
    <col min="4621" max="4621" width="10.42578125" style="9" customWidth="1"/>
    <col min="4622" max="4622" width="16.42578125" style="9" customWidth="1"/>
    <col min="4623" max="4623" width="14.140625" style="9" customWidth="1"/>
    <col min="4624" max="4624" width="15.85546875" style="9" customWidth="1"/>
    <col min="4625" max="4626" width="0" style="9" hidden="1" customWidth="1"/>
    <col min="4627" max="4627" width="11.85546875" style="9" customWidth="1"/>
    <col min="4628" max="4628" width="15.85546875" style="9" customWidth="1"/>
    <col min="4629" max="4629" width="15.42578125" style="9" customWidth="1"/>
    <col min="4630" max="4630" width="12.42578125" style="9" customWidth="1"/>
    <col min="4631" max="4631" width="11.140625" style="9" customWidth="1"/>
    <col min="4632" max="4632" width="15.42578125" style="9" customWidth="1"/>
    <col min="4633" max="4634" width="0" style="9" hidden="1" customWidth="1"/>
    <col min="4635" max="4635" width="15" style="9" customWidth="1"/>
    <col min="4636" max="4636" width="9.42578125" style="9" customWidth="1"/>
    <col min="4637" max="4637" width="10.5703125" style="9" customWidth="1"/>
    <col min="4638" max="4638" width="9.5703125" style="9" customWidth="1"/>
    <col min="4639" max="4639" width="11.42578125" style="9" customWidth="1"/>
    <col min="4640" max="4640" width="9.140625" style="9"/>
    <col min="4641" max="4641" width="12.5703125" style="9" bestFit="1" customWidth="1"/>
    <col min="4642" max="4642" width="20.140625" style="9" bestFit="1" customWidth="1"/>
    <col min="4643" max="4864" width="9.140625" style="9"/>
    <col min="4865" max="4865" width="5.42578125" style="9" customWidth="1"/>
    <col min="4866" max="4866" width="45.140625" style="9" customWidth="1"/>
    <col min="4867" max="4867" width="15.140625" style="9" customWidth="1"/>
    <col min="4868" max="4868" width="16.42578125" style="9" customWidth="1"/>
    <col min="4869" max="4869" width="17.140625" style="9" customWidth="1"/>
    <col min="4870" max="4872" width="0" style="9" hidden="1" customWidth="1"/>
    <col min="4873" max="4874" width="15.85546875" style="9" customWidth="1"/>
    <col min="4875" max="4875" width="11.140625" style="9" customWidth="1"/>
    <col min="4876" max="4876" width="11.85546875" style="9" customWidth="1"/>
    <col min="4877" max="4877" width="10.42578125" style="9" customWidth="1"/>
    <col min="4878" max="4878" width="16.42578125" style="9" customWidth="1"/>
    <col min="4879" max="4879" width="14.140625" style="9" customWidth="1"/>
    <col min="4880" max="4880" width="15.85546875" style="9" customWidth="1"/>
    <col min="4881" max="4882" width="0" style="9" hidden="1" customWidth="1"/>
    <col min="4883" max="4883" width="11.85546875" style="9" customWidth="1"/>
    <col min="4884" max="4884" width="15.85546875" style="9" customWidth="1"/>
    <col min="4885" max="4885" width="15.42578125" style="9" customWidth="1"/>
    <col min="4886" max="4886" width="12.42578125" style="9" customWidth="1"/>
    <col min="4887" max="4887" width="11.140625" style="9" customWidth="1"/>
    <col min="4888" max="4888" width="15.42578125" style="9" customWidth="1"/>
    <col min="4889" max="4890" width="0" style="9" hidden="1" customWidth="1"/>
    <col min="4891" max="4891" width="15" style="9" customWidth="1"/>
    <col min="4892" max="4892" width="9.42578125" style="9" customWidth="1"/>
    <col min="4893" max="4893" width="10.5703125" style="9" customWidth="1"/>
    <col min="4894" max="4894" width="9.5703125" style="9" customWidth="1"/>
    <col min="4895" max="4895" width="11.42578125" style="9" customWidth="1"/>
    <col min="4896" max="4896" width="9.140625" style="9"/>
    <col min="4897" max="4897" width="12.5703125" style="9" bestFit="1" customWidth="1"/>
    <col min="4898" max="4898" width="20.140625" style="9" bestFit="1" customWidth="1"/>
    <col min="4899" max="5120" width="9.140625" style="9"/>
    <col min="5121" max="5121" width="5.42578125" style="9" customWidth="1"/>
    <col min="5122" max="5122" width="45.140625" style="9" customWidth="1"/>
    <col min="5123" max="5123" width="15.140625" style="9" customWidth="1"/>
    <col min="5124" max="5124" width="16.42578125" style="9" customWidth="1"/>
    <col min="5125" max="5125" width="17.140625" style="9" customWidth="1"/>
    <col min="5126" max="5128" width="0" style="9" hidden="1" customWidth="1"/>
    <col min="5129" max="5130" width="15.85546875" style="9" customWidth="1"/>
    <col min="5131" max="5131" width="11.140625" style="9" customWidth="1"/>
    <col min="5132" max="5132" width="11.85546875" style="9" customWidth="1"/>
    <col min="5133" max="5133" width="10.42578125" style="9" customWidth="1"/>
    <col min="5134" max="5134" width="16.42578125" style="9" customWidth="1"/>
    <col min="5135" max="5135" width="14.140625" style="9" customWidth="1"/>
    <col min="5136" max="5136" width="15.85546875" style="9" customWidth="1"/>
    <col min="5137" max="5138" width="0" style="9" hidden="1" customWidth="1"/>
    <col min="5139" max="5139" width="11.85546875" style="9" customWidth="1"/>
    <col min="5140" max="5140" width="15.85546875" style="9" customWidth="1"/>
    <col min="5141" max="5141" width="15.42578125" style="9" customWidth="1"/>
    <col min="5142" max="5142" width="12.42578125" style="9" customWidth="1"/>
    <col min="5143" max="5143" width="11.140625" style="9" customWidth="1"/>
    <col min="5144" max="5144" width="15.42578125" style="9" customWidth="1"/>
    <col min="5145" max="5146" width="0" style="9" hidden="1" customWidth="1"/>
    <col min="5147" max="5147" width="15" style="9" customWidth="1"/>
    <col min="5148" max="5148" width="9.42578125" style="9" customWidth="1"/>
    <col min="5149" max="5149" width="10.5703125" style="9" customWidth="1"/>
    <col min="5150" max="5150" width="9.5703125" style="9" customWidth="1"/>
    <col min="5151" max="5151" width="11.42578125" style="9" customWidth="1"/>
    <col min="5152" max="5152" width="9.140625" style="9"/>
    <col min="5153" max="5153" width="12.5703125" style="9" bestFit="1" customWidth="1"/>
    <col min="5154" max="5154" width="20.140625" style="9" bestFit="1" customWidth="1"/>
    <col min="5155" max="5376" width="9.140625" style="9"/>
    <col min="5377" max="5377" width="5.42578125" style="9" customWidth="1"/>
    <col min="5378" max="5378" width="45.140625" style="9" customWidth="1"/>
    <col min="5379" max="5379" width="15.140625" style="9" customWidth="1"/>
    <col min="5380" max="5380" width="16.42578125" style="9" customWidth="1"/>
    <col min="5381" max="5381" width="17.140625" style="9" customWidth="1"/>
    <col min="5382" max="5384" width="0" style="9" hidden="1" customWidth="1"/>
    <col min="5385" max="5386" width="15.85546875" style="9" customWidth="1"/>
    <col min="5387" max="5387" width="11.140625" style="9" customWidth="1"/>
    <col min="5388" max="5388" width="11.85546875" style="9" customWidth="1"/>
    <col min="5389" max="5389" width="10.42578125" style="9" customWidth="1"/>
    <col min="5390" max="5390" width="16.42578125" style="9" customWidth="1"/>
    <col min="5391" max="5391" width="14.140625" style="9" customWidth="1"/>
    <col min="5392" max="5392" width="15.85546875" style="9" customWidth="1"/>
    <col min="5393" max="5394" width="0" style="9" hidden="1" customWidth="1"/>
    <col min="5395" max="5395" width="11.85546875" style="9" customWidth="1"/>
    <col min="5396" max="5396" width="15.85546875" style="9" customWidth="1"/>
    <col min="5397" max="5397" width="15.42578125" style="9" customWidth="1"/>
    <col min="5398" max="5398" width="12.42578125" style="9" customWidth="1"/>
    <col min="5399" max="5399" width="11.140625" style="9" customWidth="1"/>
    <col min="5400" max="5400" width="15.42578125" style="9" customWidth="1"/>
    <col min="5401" max="5402" width="0" style="9" hidden="1" customWidth="1"/>
    <col min="5403" max="5403" width="15" style="9" customWidth="1"/>
    <col min="5404" max="5404" width="9.42578125" style="9" customWidth="1"/>
    <col min="5405" max="5405" width="10.5703125" style="9" customWidth="1"/>
    <col min="5406" max="5406" width="9.5703125" style="9" customWidth="1"/>
    <col min="5407" max="5407" width="11.42578125" style="9" customWidth="1"/>
    <col min="5408" max="5408" width="9.140625" style="9"/>
    <col min="5409" max="5409" width="12.5703125" style="9" bestFit="1" customWidth="1"/>
    <col min="5410" max="5410" width="20.140625" style="9" bestFit="1" customWidth="1"/>
    <col min="5411" max="5632" width="9.140625" style="9"/>
    <col min="5633" max="5633" width="5.42578125" style="9" customWidth="1"/>
    <col min="5634" max="5634" width="45.140625" style="9" customWidth="1"/>
    <col min="5635" max="5635" width="15.140625" style="9" customWidth="1"/>
    <col min="5636" max="5636" width="16.42578125" style="9" customWidth="1"/>
    <col min="5637" max="5637" width="17.140625" style="9" customWidth="1"/>
    <col min="5638" max="5640" width="0" style="9" hidden="1" customWidth="1"/>
    <col min="5641" max="5642" width="15.85546875" style="9" customWidth="1"/>
    <col min="5643" max="5643" width="11.140625" style="9" customWidth="1"/>
    <col min="5644" max="5644" width="11.85546875" style="9" customWidth="1"/>
    <col min="5645" max="5645" width="10.42578125" style="9" customWidth="1"/>
    <col min="5646" max="5646" width="16.42578125" style="9" customWidth="1"/>
    <col min="5647" max="5647" width="14.140625" style="9" customWidth="1"/>
    <col min="5648" max="5648" width="15.85546875" style="9" customWidth="1"/>
    <col min="5649" max="5650" width="0" style="9" hidden="1" customWidth="1"/>
    <col min="5651" max="5651" width="11.85546875" style="9" customWidth="1"/>
    <col min="5652" max="5652" width="15.85546875" style="9" customWidth="1"/>
    <col min="5653" max="5653" width="15.42578125" style="9" customWidth="1"/>
    <col min="5654" max="5654" width="12.42578125" style="9" customWidth="1"/>
    <col min="5655" max="5655" width="11.140625" style="9" customWidth="1"/>
    <col min="5656" max="5656" width="15.42578125" style="9" customWidth="1"/>
    <col min="5657" max="5658" width="0" style="9" hidden="1" customWidth="1"/>
    <col min="5659" max="5659" width="15" style="9" customWidth="1"/>
    <col min="5660" max="5660" width="9.42578125" style="9" customWidth="1"/>
    <col min="5661" max="5661" width="10.5703125" style="9" customWidth="1"/>
    <col min="5662" max="5662" width="9.5703125" style="9" customWidth="1"/>
    <col min="5663" max="5663" width="11.42578125" style="9" customWidth="1"/>
    <col min="5664" max="5664" width="9.140625" style="9"/>
    <col min="5665" max="5665" width="12.5703125" style="9" bestFit="1" customWidth="1"/>
    <col min="5666" max="5666" width="20.140625" style="9" bestFit="1" customWidth="1"/>
    <col min="5667" max="5888" width="9.140625" style="9"/>
    <col min="5889" max="5889" width="5.42578125" style="9" customWidth="1"/>
    <col min="5890" max="5890" width="45.140625" style="9" customWidth="1"/>
    <col min="5891" max="5891" width="15.140625" style="9" customWidth="1"/>
    <col min="5892" max="5892" width="16.42578125" style="9" customWidth="1"/>
    <col min="5893" max="5893" width="17.140625" style="9" customWidth="1"/>
    <col min="5894" max="5896" width="0" style="9" hidden="1" customWidth="1"/>
    <col min="5897" max="5898" width="15.85546875" style="9" customWidth="1"/>
    <col min="5899" max="5899" width="11.140625" style="9" customWidth="1"/>
    <col min="5900" max="5900" width="11.85546875" style="9" customWidth="1"/>
    <col min="5901" max="5901" width="10.42578125" style="9" customWidth="1"/>
    <col min="5902" max="5902" width="16.42578125" style="9" customWidth="1"/>
    <col min="5903" max="5903" width="14.140625" style="9" customWidth="1"/>
    <col min="5904" max="5904" width="15.85546875" style="9" customWidth="1"/>
    <col min="5905" max="5906" width="0" style="9" hidden="1" customWidth="1"/>
    <col min="5907" max="5907" width="11.85546875" style="9" customWidth="1"/>
    <col min="5908" max="5908" width="15.85546875" style="9" customWidth="1"/>
    <col min="5909" max="5909" width="15.42578125" style="9" customWidth="1"/>
    <col min="5910" max="5910" width="12.42578125" style="9" customWidth="1"/>
    <col min="5911" max="5911" width="11.140625" style="9" customWidth="1"/>
    <col min="5912" max="5912" width="15.42578125" style="9" customWidth="1"/>
    <col min="5913" max="5914" width="0" style="9" hidden="1" customWidth="1"/>
    <col min="5915" max="5915" width="15" style="9" customWidth="1"/>
    <col min="5916" max="5916" width="9.42578125" style="9" customWidth="1"/>
    <col min="5917" max="5917" width="10.5703125" style="9" customWidth="1"/>
    <col min="5918" max="5918" width="9.5703125" style="9" customWidth="1"/>
    <col min="5919" max="5919" width="11.42578125" style="9" customWidth="1"/>
    <col min="5920" max="5920" width="9.140625" style="9"/>
    <col min="5921" max="5921" width="12.5703125" style="9" bestFit="1" customWidth="1"/>
    <col min="5922" max="5922" width="20.140625" style="9" bestFit="1" customWidth="1"/>
    <col min="5923" max="6144" width="9.140625" style="9"/>
    <col min="6145" max="6145" width="5.42578125" style="9" customWidth="1"/>
    <col min="6146" max="6146" width="45.140625" style="9" customWidth="1"/>
    <col min="6147" max="6147" width="15.140625" style="9" customWidth="1"/>
    <col min="6148" max="6148" width="16.42578125" style="9" customWidth="1"/>
    <col min="6149" max="6149" width="17.140625" style="9" customWidth="1"/>
    <col min="6150" max="6152" width="0" style="9" hidden="1" customWidth="1"/>
    <col min="6153" max="6154" width="15.85546875" style="9" customWidth="1"/>
    <col min="6155" max="6155" width="11.140625" style="9" customWidth="1"/>
    <col min="6156" max="6156" width="11.85546875" style="9" customWidth="1"/>
    <col min="6157" max="6157" width="10.42578125" style="9" customWidth="1"/>
    <col min="6158" max="6158" width="16.42578125" style="9" customWidth="1"/>
    <col min="6159" max="6159" width="14.140625" style="9" customWidth="1"/>
    <col min="6160" max="6160" width="15.85546875" style="9" customWidth="1"/>
    <col min="6161" max="6162" width="0" style="9" hidden="1" customWidth="1"/>
    <col min="6163" max="6163" width="11.85546875" style="9" customWidth="1"/>
    <col min="6164" max="6164" width="15.85546875" style="9" customWidth="1"/>
    <col min="6165" max="6165" width="15.42578125" style="9" customWidth="1"/>
    <col min="6166" max="6166" width="12.42578125" style="9" customWidth="1"/>
    <col min="6167" max="6167" width="11.140625" style="9" customWidth="1"/>
    <col min="6168" max="6168" width="15.42578125" style="9" customWidth="1"/>
    <col min="6169" max="6170" width="0" style="9" hidden="1" customWidth="1"/>
    <col min="6171" max="6171" width="15" style="9" customWidth="1"/>
    <col min="6172" max="6172" width="9.42578125" style="9" customWidth="1"/>
    <col min="6173" max="6173" width="10.5703125" style="9" customWidth="1"/>
    <col min="6174" max="6174" width="9.5703125" style="9" customWidth="1"/>
    <col min="6175" max="6175" width="11.42578125" style="9" customWidth="1"/>
    <col min="6176" max="6176" width="9.140625" style="9"/>
    <col min="6177" max="6177" width="12.5703125" style="9" bestFit="1" customWidth="1"/>
    <col min="6178" max="6178" width="20.140625" style="9" bestFit="1" customWidth="1"/>
    <col min="6179" max="6400" width="9.140625" style="9"/>
    <col min="6401" max="6401" width="5.42578125" style="9" customWidth="1"/>
    <col min="6402" max="6402" width="45.140625" style="9" customWidth="1"/>
    <col min="6403" max="6403" width="15.140625" style="9" customWidth="1"/>
    <col min="6404" max="6404" width="16.42578125" style="9" customWidth="1"/>
    <col min="6405" max="6405" width="17.140625" style="9" customWidth="1"/>
    <col min="6406" max="6408" width="0" style="9" hidden="1" customWidth="1"/>
    <col min="6409" max="6410" width="15.85546875" style="9" customWidth="1"/>
    <col min="6411" max="6411" width="11.140625" style="9" customWidth="1"/>
    <col min="6412" max="6412" width="11.85546875" style="9" customWidth="1"/>
    <col min="6413" max="6413" width="10.42578125" style="9" customWidth="1"/>
    <col min="6414" max="6414" width="16.42578125" style="9" customWidth="1"/>
    <col min="6415" max="6415" width="14.140625" style="9" customWidth="1"/>
    <col min="6416" max="6416" width="15.85546875" style="9" customWidth="1"/>
    <col min="6417" max="6418" width="0" style="9" hidden="1" customWidth="1"/>
    <col min="6419" max="6419" width="11.85546875" style="9" customWidth="1"/>
    <col min="6420" max="6420" width="15.85546875" style="9" customWidth="1"/>
    <col min="6421" max="6421" width="15.42578125" style="9" customWidth="1"/>
    <col min="6422" max="6422" width="12.42578125" style="9" customWidth="1"/>
    <col min="6423" max="6423" width="11.140625" style="9" customWidth="1"/>
    <col min="6424" max="6424" width="15.42578125" style="9" customWidth="1"/>
    <col min="6425" max="6426" width="0" style="9" hidden="1" customWidth="1"/>
    <col min="6427" max="6427" width="15" style="9" customWidth="1"/>
    <col min="6428" max="6428" width="9.42578125" style="9" customWidth="1"/>
    <col min="6429" max="6429" width="10.5703125" style="9" customWidth="1"/>
    <col min="6430" max="6430" width="9.5703125" style="9" customWidth="1"/>
    <col min="6431" max="6431" width="11.42578125" style="9" customWidth="1"/>
    <col min="6432" max="6432" width="9.140625" style="9"/>
    <col min="6433" max="6433" width="12.5703125" style="9" bestFit="1" customWidth="1"/>
    <col min="6434" max="6434" width="20.140625" style="9" bestFit="1" customWidth="1"/>
    <col min="6435" max="6656" width="9.140625" style="9"/>
    <col min="6657" max="6657" width="5.42578125" style="9" customWidth="1"/>
    <col min="6658" max="6658" width="45.140625" style="9" customWidth="1"/>
    <col min="6659" max="6659" width="15.140625" style="9" customWidth="1"/>
    <col min="6660" max="6660" width="16.42578125" style="9" customWidth="1"/>
    <col min="6661" max="6661" width="17.140625" style="9" customWidth="1"/>
    <col min="6662" max="6664" width="0" style="9" hidden="1" customWidth="1"/>
    <col min="6665" max="6666" width="15.85546875" style="9" customWidth="1"/>
    <col min="6667" max="6667" width="11.140625" style="9" customWidth="1"/>
    <col min="6668" max="6668" width="11.85546875" style="9" customWidth="1"/>
    <col min="6669" max="6669" width="10.42578125" style="9" customWidth="1"/>
    <col min="6670" max="6670" width="16.42578125" style="9" customWidth="1"/>
    <col min="6671" max="6671" width="14.140625" style="9" customWidth="1"/>
    <col min="6672" max="6672" width="15.85546875" style="9" customWidth="1"/>
    <col min="6673" max="6674" width="0" style="9" hidden="1" customWidth="1"/>
    <col min="6675" max="6675" width="11.85546875" style="9" customWidth="1"/>
    <col min="6676" max="6676" width="15.85546875" style="9" customWidth="1"/>
    <col min="6677" max="6677" width="15.42578125" style="9" customWidth="1"/>
    <col min="6678" max="6678" width="12.42578125" style="9" customWidth="1"/>
    <col min="6679" max="6679" width="11.140625" style="9" customWidth="1"/>
    <col min="6680" max="6680" width="15.42578125" style="9" customWidth="1"/>
    <col min="6681" max="6682" width="0" style="9" hidden="1" customWidth="1"/>
    <col min="6683" max="6683" width="15" style="9" customWidth="1"/>
    <col min="6684" max="6684" width="9.42578125" style="9" customWidth="1"/>
    <col min="6685" max="6685" width="10.5703125" style="9" customWidth="1"/>
    <col min="6686" max="6686" width="9.5703125" style="9" customWidth="1"/>
    <col min="6687" max="6687" width="11.42578125" style="9" customWidth="1"/>
    <col min="6688" max="6688" width="9.140625" style="9"/>
    <col min="6689" max="6689" width="12.5703125" style="9" bestFit="1" customWidth="1"/>
    <col min="6690" max="6690" width="20.140625" style="9" bestFit="1" customWidth="1"/>
    <col min="6691" max="6912" width="9.140625" style="9"/>
    <col min="6913" max="6913" width="5.42578125" style="9" customWidth="1"/>
    <col min="6914" max="6914" width="45.140625" style="9" customWidth="1"/>
    <col min="6915" max="6915" width="15.140625" style="9" customWidth="1"/>
    <col min="6916" max="6916" width="16.42578125" style="9" customWidth="1"/>
    <col min="6917" max="6917" width="17.140625" style="9" customWidth="1"/>
    <col min="6918" max="6920" width="0" style="9" hidden="1" customWidth="1"/>
    <col min="6921" max="6922" width="15.85546875" style="9" customWidth="1"/>
    <col min="6923" max="6923" width="11.140625" style="9" customWidth="1"/>
    <col min="6924" max="6924" width="11.85546875" style="9" customWidth="1"/>
    <col min="6925" max="6925" width="10.42578125" style="9" customWidth="1"/>
    <col min="6926" max="6926" width="16.42578125" style="9" customWidth="1"/>
    <col min="6927" max="6927" width="14.140625" style="9" customWidth="1"/>
    <col min="6928" max="6928" width="15.85546875" style="9" customWidth="1"/>
    <col min="6929" max="6930" width="0" style="9" hidden="1" customWidth="1"/>
    <col min="6931" max="6931" width="11.85546875" style="9" customWidth="1"/>
    <col min="6932" max="6932" width="15.85546875" style="9" customWidth="1"/>
    <col min="6933" max="6933" width="15.42578125" style="9" customWidth="1"/>
    <col min="6934" max="6934" width="12.42578125" style="9" customWidth="1"/>
    <col min="6935" max="6935" width="11.140625" style="9" customWidth="1"/>
    <col min="6936" max="6936" width="15.42578125" style="9" customWidth="1"/>
    <col min="6937" max="6938" width="0" style="9" hidden="1" customWidth="1"/>
    <col min="6939" max="6939" width="15" style="9" customWidth="1"/>
    <col min="6940" max="6940" width="9.42578125" style="9" customWidth="1"/>
    <col min="6941" max="6941" width="10.5703125" style="9" customWidth="1"/>
    <col min="6942" max="6942" width="9.5703125" style="9" customWidth="1"/>
    <col min="6943" max="6943" width="11.42578125" style="9" customWidth="1"/>
    <col min="6944" max="6944" width="9.140625" style="9"/>
    <col min="6945" max="6945" width="12.5703125" style="9" bestFit="1" customWidth="1"/>
    <col min="6946" max="6946" width="20.140625" style="9" bestFit="1" customWidth="1"/>
    <col min="6947" max="7168" width="9.140625" style="9"/>
    <col min="7169" max="7169" width="5.42578125" style="9" customWidth="1"/>
    <col min="7170" max="7170" width="45.140625" style="9" customWidth="1"/>
    <col min="7171" max="7171" width="15.140625" style="9" customWidth="1"/>
    <col min="7172" max="7172" width="16.42578125" style="9" customWidth="1"/>
    <col min="7173" max="7173" width="17.140625" style="9" customWidth="1"/>
    <col min="7174" max="7176" width="0" style="9" hidden="1" customWidth="1"/>
    <col min="7177" max="7178" width="15.85546875" style="9" customWidth="1"/>
    <col min="7179" max="7179" width="11.140625" style="9" customWidth="1"/>
    <col min="7180" max="7180" width="11.85546875" style="9" customWidth="1"/>
    <col min="7181" max="7181" width="10.42578125" style="9" customWidth="1"/>
    <col min="7182" max="7182" width="16.42578125" style="9" customWidth="1"/>
    <col min="7183" max="7183" width="14.140625" style="9" customWidth="1"/>
    <col min="7184" max="7184" width="15.85546875" style="9" customWidth="1"/>
    <col min="7185" max="7186" width="0" style="9" hidden="1" customWidth="1"/>
    <col min="7187" max="7187" width="11.85546875" style="9" customWidth="1"/>
    <col min="7188" max="7188" width="15.85546875" style="9" customWidth="1"/>
    <col min="7189" max="7189" width="15.42578125" style="9" customWidth="1"/>
    <col min="7190" max="7190" width="12.42578125" style="9" customWidth="1"/>
    <col min="7191" max="7191" width="11.140625" style="9" customWidth="1"/>
    <col min="7192" max="7192" width="15.42578125" style="9" customWidth="1"/>
    <col min="7193" max="7194" width="0" style="9" hidden="1" customWidth="1"/>
    <col min="7195" max="7195" width="15" style="9" customWidth="1"/>
    <col min="7196" max="7196" width="9.42578125" style="9" customWidth="1"/>
    <col min="7197" max="7197" width="10.5703125" style="9" customWidth="1"/>
    <col min="7198" max="7198" width="9.5703125" style="9" customWidth="1"/>
    <col min="7199" max="7199" width="11.42578125" style="9" customWidth="1"/>
    <col min="7200" max="7200" width="9.140625" style="9"/>
    <col min="7201" max="7201" width="12.5703125" style="9" bestFit="1" customWidth="1"/>
    <col min="7202" max="7202" width="20.140625" style="9" bestFit="1" customWidth="1"/>
    <col min="7203" max="7424" width="9.140625" style="9"/>
    <col min="7425" max="7425" width="5.42578125" style="9" customWidth="1"/>
    <col min="7426" max="7426" width="45.140625" style="9" customWidth="1"/>
    <col min="7427" max="7427" width="15.140625" style="9" customWidth="1"/>
    <col min="7428" max="7428" width="16.42578125" style="9" customWidth="1"/>
    <col min="7429" max="7429" width="17.140625" style="9" customWidth="1"/>
    <col min="7430" max="7432" width="0" style="9" hidden="1" customWidth="1"/>
    <col min="7433" max="7434" width="15.85546875" style="9" customWidth="1"/>
    <col min="7435" max="7435" width="11.140625" style="9" customWidth="1"/>
    <col min="7436" max="7436" width="11.85546875" style="9" customWidth="1"/>
    <col min="7437" max="7437" width="10.42578125" style="9" customWidth="1"/>
    <col min="7438" max="7438" width="16.42578125" style="9" customWidth="1"/>
    <col min="7439" max="7439" width="14.140625" style="9" customWidth="1"/>
    <col min="7440" max="7440" width="15.85546875" style="9" customWidth="1"/>
    <col min="7441" max="7442" width="0" style="9" hidden="1" customWidth="1"/>
    <col min="7443" max="7443" width="11.85546875" style="9" customWidth="1"/>
    <col min="7444" max="7444" width="15.85546875" style="9" customWidth="1"/>
    <col min="7445" max="7445" width="15.42578125" style="9" customWidth="1"/>
    <col min="7446" max="7446" width="12.42578125" style="9" customWidth="1"/>
    <col min="7447" max="7447" width="11.140625" style="9" customWidth="1"/>
    <col min="7448" max="7448" width="15.42578125" style="9" customWidth="1"/>
    <col min="7449" max="7450" width="0" style="9" hidden="1" customWidth="1"/>
    <col min="7451" max="7451" width="15" style="9" customWidth="1"/>
    <col min="7452" max="7452" width="9.42578125" style="9" customWidth="1"/>
    <col min="7453" max="7453" width="10.5703125" style="9" customWidth="1"/>
    <col min="7454" max="7454" width="9.5703125" style="9" customWidth="1"/>
    <col min="7455" max="7455" width="11.42578125" style="9" customWidth="1"/>
    <col min="7456" max="7456" width="9.140625" style="9"/>
    <col min="7457" max="7457" width="12.5703125" style="9" bestFit="1" customWidth="1"/>
    <col min="7458" max="7458" width="20.140625" style="9" bestFit="1" customWidth="1"/>
    <col min="7459" max="7680" width="9.140625" style="9"/>
    <col min="7681" max="7681" width="5.42578125" style="9" customWidth="1"/>
    <col min="7682" max="7682" width="45.140625" style="9" customWidth="1"/>
    <col min="7683" max="7683" width="15.140625" style="9" customWidth="1"/>
    <col min="7684" max="7684" width="16.42578125" style="9" customWidth="1"/>
    <col min="7685" max="7685" width="17.140625" style="9" customWidth="1"/>
    <col min="7686" max="7688" width="0" style="9" hidden="1" customWidth="1"/>
    <col min="7689" max="7690" width="15.85546875" style="9" customWidth="1"/>
    <col min="7691" max="7691" width="11.140625" style="9" customWidth="1"/>
    <col min="7692" max="7692" width="11.85546875" style="9" customWidth="1"/>
    <col min="7693" max="7693" width="10.42578125" style="9" customWidth="1"/>
    <col min="7694" max="7694" width="16.42578125" style="9" customWidth="1"/>
    <col min="7695" max="7695" width="14.140625" style="9" customWidth="1"/>
    <col min="7696" max="7696" width="15.85546875" style="9" customWidth="1"/>
    <col min="7697" max="7698" width="0" style="9" hidden="1" customWidth="1"/>
    <col min="7699" max="7699" width="11.85546875" style="9" customWidth="1"/>
    <col min="7700" max="7700" width="15.85546875" style="9" customWidth="1"/>
    <col min="7701" max="7701" width="15.42578125" style="9" customWidth="1"/>
    <col min="7702" max="7702" width="12.42578125" style="9" customWidth="1"/>
    <col min="7703" max="7703" width="11.140625" style="9" customWidth="1"/>
    <col min="7704" max="7704" width="15.42578125" style="9" customWidth="1"/>
    <col min="7705" max="7706" width="0" style="9" hidden="1" customWidth="1"/>
    <col min="7707" max="7707" width="15" style="9" customWidth="1"/>
    <col min="7708" max="7708" width="9.42578125" style="9" customWidth="1"/>
    <col min="7709" max="7709" width="10.5703125" style="9" customWidth="1"/>
    <col min="7710" max="7710" width="9.5703125" style="9" customWidth="1"/>
    <col min="7711" max="7711" width="11.42578125" style="9" customWidth="1"/>
    <col min="7712" max="7712" width="9.140625" style="9"/>
    <col min="7713" max="7713" width="12.5703125" style="9" bestFit="1" customWidth="1"/>
    <col min="7714" max="7714" width="20.140625" style="9" bestFit="1" customWidth="1"/>
    <col min="7715" max="7936" width="9.140625" style="9"/>
    <col min="7937" max="7937" width="5.42578125" style="9" customWidth="1"/>
    <col min="7938" max="7938" width="45.140625" style="9" customWidth="1"/>
    <col min="7939" max="7939" width="15.140625" style="9" customWidth="1"/>
    <col min="7940" max="7940" width="16.42578125" style="9" customWidth="1"/>
    <col min="7941" max="7941" width="17.140625" style="9" customWidth="1"/>
    <col min="7942" max="7944" width="0" style="9" hidden="1" customWidth="1"/>
    <col min="7945" max="7946" width="15.85546875" style="9" customWidth="1"/>
    <col min="7947" max="7947" width="11.140625" style="9" customWidth="1"/>
    <col min="7948" max="7948" width="11.85546875" style="9" customWidth="1"/>
    <col min="7949" max="7949" width="10.42578125" style="9" customWidth="1"/>
    <col min="7950" max="7950" width="16.42578125" style="9" customWidth="1"/>
    <col min="7951" max="7951" width="14.140625" style="9" customWidth="1"/>
    <col min="7952" max="7952" width="15.85546875" style="9" customWidth="1"/>
    <col min="7953" max="7954" width="0" style="9" hidden="1" customWidth="1"/>
    <col min="7955" max="7955" width="11.85546875" style="9" customWidth="1"/>
    <col min="7956" max="7956" width="15.85546875" style="9" customWidth="1"/>
    <col min="7957" max="7957" width="15.42578125" style="9" customWidth="1"/>
    <col min="7958" max="7958" width="12.42578125" style="9" customWidth="1"/>
    <col min="7959" max="7959" width="11.140625" style="9" customWidth="1"/>
    <col min="7960" max="7960" width="15.42578125" style="9" customWidth="1"/>
    <col min="7961" max="7962" width="0" style="9" hidden="1" customWidth="1"/>
    <col min="7963" max="7963" width="15" style="9" customWidth="1"/>
    <col min="7964" max="7964" width="9.42578125" style="9" customWidth="1"/>
    <col min="7965" max="7965" width="10.5703125" style="9" customWidth="1"/>
    <col min="7966" max="7966" width="9.5703125" style="9" customWidth="1"/>
    <col min="7967" max="7967" width="11.42578125" style="9" customWidth="1"/>
    <col min="7968" max="7968" width="9.140625" style="9"/>
    <col min="7969" max="7969" width="12.5703125" style="9" bestFit="1" customWidth="1"/>
    <col min="7970" max="7970" width="20.140625" style="9" bestFit="1" customWidth="1"/>
    <col min="7971" max="8192" width="9.140625" style="9"/>
    <col min="8193" max="8193" width="5.42578125" style="9" customWidth="1"/>
    <col min="8194" max="8194" width="45.140625" style="9" customWidth="1"/>
    <col min="8195" max="8195" width="15.140625" style="9" customWidth="1"/>
    <col min="8196" max="8196" width="16.42578125" style="9" customWidth="1"/>
    <col min="8197" max="8197" width="17.140625" style="9" customWidth="1"/>
    <col min="8198" max="8200" width="0" style="9" hidden="1" customWidth="1"/>
    <col min="8201" max="8202" width="15.85546875" style="9" customWidth="1"/>
    <col min="8203" max="8203" width="11.140625" style="9" customWidth="1"/>
    <col min="8204" max="8204" width="11.85546875" style="9" customWidth="1"/>
    <col min="8205" max="8205" width="10.42578125" style="9" customWidth="1"/>
    <col min="8206" max="8206" width="16.42578125" style="9" customWidth="1"/>
    <col min="8207" max="8207" width="14.140625" style="9" customWidth="1"/>
    <col min="8208" max="8208" width="15.85546875" style="9" customWidth="1"/>
    <col min="8209" max="8210" width="0" style="9" hidden="1" customWidth="1"/>
    <col min="8211" max="8211" width="11.85546875" style="9" customWidth="1"/>
    <col min="8212" max="8212" width="15.85546875" style="9" customWidth="1"/>
    <col min="8213" max="8213" width="15.42578125" style="9" customWidth="1"/>
    <col min="8214" max="8214" width="12.42578125" style="9" customWidth="1"/>
    <col min="8215" max="8215" width="11.140625" style="9" customWidth="1"/>
    <col min="8216" max="8216" width="15.42578125" style="9" customWidth="1"/>
    <col min="8217" max="8218" width="0" style="9" hidden="1" customWidth="1"/>
    <col min="8219" max="8219" width="15" style="9" customWidth="1"/>
    <col min="8220" max="8220" width="9.42578125" style="9" customWidth="1"/>
    <col min="8221" max="8221" width="10.5703125" style="9" customWidth="1"/>
    <col min="8222" max="8222" width="9.5703125" style="9" customWidth="1"/>
    <col min="8223" max="8223" width="11.42578125" style="9" customWidth="1"/>
    <col min="8224" max="8224" width="9.140625" style="9"/>
    <col min="8225" max="8225" width="12.5703125" style="9" bestFit="1" customWidth="1"/>
    <col min="8226" max="8226" width="20.140625" style="9" bestFit="1" customWidth="1"/>
    <col min="8227" max="8448" width="9.140625" style="9"/>
    <col min="8449" max="8449" width="5.42578125" style="9" customWidth="1"/>
    <col min="8450" max="8450" width="45.140625" style="9" customWidth="1"/>
    <col min="8451" max="8451" width="15.140625" style="9" customWidth="1"/>
    <col min="8452" max="8452" width="16.42578125" style="9" customWidth="1"/>
    <col min="8453" max="8453" width="17.140625" style="9" customWidth="1"/>
    <col min="8454" max="8456" width="0" style="9" hidden="1" customWidth="1"/>
    <col min="8457" max="8458" width="15.85546875" style="9" customWidth="1"/>
    <col min="8459" max="8459" width="11.140625" style="9" customWidth="1"/>
    <col min="8460" max="8460" width="11.85546875" style="9" customWidth="1"/>
    <col min="8461" max="8461" width="10.42578125" style="9" customWidth="1"/>
    <col min="8462" max="8462" width="16.42578125" style="9" customWidth="1"/>
    <col min="8463" max="8463" width="14.140625" style="9" customWidth="1"/>
    <col min="8464" max="8464" width="15.85546875" style="9" customWidth="1"/>
    <col min="8465" max="8466" width="0" style="9" hidden="1" customWidth="1"/>
    <col min="8467" max="8467" width="11.85546875" style="9" customWidth="1"/>
    <col min="8468" max="8468" width="15.85546875" style="9" customWidth="1"/>
    <col min="8469" max="8469" width="15.42578125" style="9" customWidth="1"/>
    <col min="8470" max="8470" width="12.42578125" style="9" customWidth="1"/>
    <col min="8471" max="8471" width="11.140625" style="9" customWidth="1"/>
    <col min="8472" max="8472" width="15.42578125" style="9" customWidth="1"/>
    <col min="8473" max="8474" width="0" style="9" hidden="1" customWidth="1"/>
    <col min="8475" max="8475" width="15" style="9" customWidth="1"/>
    <col min="8476" max="8476" width="9.42578125" style="9" customWidth="1"/>
    <col min="8477" max="8477" width="10.5703125" style="9" customWidth="1"/>
    <col min="8478" max="8478" width="9.5703125" style="9" customWidth="1"/>
    <col min="8479" max="8479" width="11.42578125" style="9" customWidth="1"/>
    <col min="8480" max="8480" width="9.140625" style="9"/>
    <col min="8481" max="8481" width="12.5703125" style="9" bestFit="1" customWidth="1"/>
    <col min="8482" max="8482" width="20.140625" style="9" bestFit="1" customWidth="1"/>
    <col min="8483" max="8704" width="9.140625" style="9"/>
    <col min="8705" max="8705" width="5.42578125" style="9" customWidth="1"/>
    <col min="8706" max="8706" width="45.140625" style="9" customWidth="1"/>
    <col min="8707" max="8707" width="15.140625" style="9" customWidth="1"/>
    <col min="8708" max="8708" width="16.42578125" style="9" customWidth="1"/>
    <col min="8709" max="8709" width="17.140625" style="9" customWidth="1"/>
    <col min="8710" max="8712" width="0" style="9" hidden="1" customWidth="1"/>
    <col min="8713" max="8714" width="15.85546875" style="9" customWidth="1"/>
    <col min="8715" max="8715" width="11.140625" style="9" customWidth="1"/>
    <col min="8716" max="8716" width="11.85546875" style="9" customWidth="1"/>
    <col min="8717" max="8717" width="10.42578125" style="9" customWidth="1"/>
    <col min="8718" max="8718" width="16.42578125" style="9" customWidth="1"/>
    <col min="8719" max="8719" width="14.140625" style="9" customWidth="1"/>
    <col min="8720" max="8720" width="15.85546875" style="9" customWidth="1"/>
    <col min="8721" max="8722" width="0" style="9" hidden="1" customWidth="1"/>
    <col min="8723" max="8723" width="11.85546875" style="9" customWidth="1"/>
    <col min="8724" max="8724" width="15.85546875" style="9" customWidth="1"/>
    <col min="8725" max="8725" width="15.42578125" style="9" customWidth="1"/>
    <col min="8726" max="8726" width="12.42578125" style="9" customWidth="1"/>
    <col min="8727" max="8727" width="11.140625" style="9" customWidth="1"/>
    <col min="8728" max="8728" width="15.42578125" style="9" customWidth="1"/>
    <col min="8729" max="8730" width="0" style="9" hidden="1" customWidth="1"/>
    <col min="8731" max="8731" width="15" style="9" customWidth="1"/>
    <col min="8732" max="8732" width="9.42578125" style="9" customWidth="1"/>
    <col min="8733" max="8733" width="10.5703125" style="9" customWidth="1"/>
    <col min="8734" max="8734" width="9.5703125" style="9" customWidth="1"/>
    <col min="8735" max="8735" width="11.42578125" style="9" customWidth="1"/>
    <col min="8736" max="8736" width="9.140625" style="9"/>
    <col min="8737" max="8737" width="12.5703125" style="9" bestFit="1" customWidth="1"/>
    <col min="8738" max="8738" width="20.140625" style="9" bestFit="1" customWidth="1"/>
    <col min="8739" max="8960" width="9.140625" style="9"/>
    <col min="8961" max="8961" width="5.42578125" style="9" customWidth="1"/>
    <col min="8962" max="8962" width="45.140625" style="9" customWidth="1"/>
    <col min="8963" max="8963" width="15.140625" style="9" customWidth="1"/>
    <col min="8964" max="8964" width="16.42578125" style="9" customWidth="1"/>
    <col min="8965" max="8965" width="17.140625" style="9" customWidth="1"/>
    <col min="8966" max="8968" width="0" style="9" hidden="1" customWidth="1"/>
    <col min="8969" max="8970" width="15.85546875" style="9" customWidth="1"/>
    <col min="8971" max="8971" width="11.140625" style="9" customWidth="1"/>
    <col min="8972" max="8972" width="11.85546875" style="9" customWidth="1"/>
    <col min="8973" max="8973" width="10.42578125" style="9" customWidth="1"/>
    <col min="8974" max="8974" width="16.42578125" style="9" customWidth="1"/>
    <col min="8975" max="8975" width="14.140625" style="9" customWidth="1"/>
    <col min="8976" max="8976" width="15.85546875" style="9" customWidth="1"/>
    <col min="8977" max="8978" width="0" style="9" hidden="1" customWidth="1"/>
    <col min="8979" max="8979" width="11.85546875" style="9" customWidth="1"/>
    <col min="8980" max="8980" width="15.85546875" style="9" customWidth="1"/>
    <col min="8981" max="8981" width="15.42578125" style="9" customWidth="1"/>
    <col min="8982" max="8982" width="12.42578125" style="9" customWidth="1"/>
    <col min="8983" max="8983" width="11.140625" style="9" customWidth="1"/>
    <col min="8984" max="8984" width="15.42578125" style="9" customWidth="1"/>
    <col min="8985" max="8986" width="0" style="9" hidden="1" customWidth="1"/>
    <col min="8987" max="8987" width="15" style="9" customWidth="1"/>
    <col min="8988" max="8988" width="9.42578125" style="9" customWidth="1"/>
    <col min="8989" max="8989" width="10.5703125" style="9" customWidth="1"/>
    <col min="8990" max="8990" width="9.5703125" style="9" customWidth="1"/>
    <col min="8991" max="8991" width="11.42578125" style="9" customWidth="1"/>
    <col min="8992" max="8992" width="9.140625" style="9"/>
    <col min="8993" max="8993" width="12.5703125" style="9" bestFit="1" customWidth="1"/>
    <col min="8994" max="8994" width="20.140625" style="9" bestFit="1" customWidth="1"/>
    <col min="8995" max="9216" width="9.140625" style="9"/>
    <col min="9217" max="9217" width="5.42578125" style="9" customWidth="1"/>
    <col min="9218" max="9218" width="45.140625" style="9" customWidth="1"/>
    <col min="9219" max="9219" width="15.140625" style="9" customWidth="1"/>
    <col min="9220" max="9220" width="16.42578125" style="9" customWidth="1"/>
    <col min="9221" max="9221" width="17.140625" style="9" customWidth="1"/>
    <col min="9222" max="9224" width="0" style="9" hidden="1" customWidth="1"/>
    <col min="9225" max="9226" width="15.85546875" style="9" customWidth="1"/>
    <col min="9227" max="9227" width="11.140625" style="9" customWidth="1"/>
    <col min="9228" max="9228" width="11.85546875" style="9" customWidth="1"/>
    <col min="9229" max="9229" width="10.42578125" style="9" customWidth="1"/>
    <col min="9230" max="9230" width="16.42578125" style="9" customWidth="1"/>
    <col min="9231" max="9231" width="14.140625" style="9" customWidth="1"/>
    <col min="9232" max="9232" width="15.85546875" style="9" customWidth="1"/>
    <col min="9233" max="9234" width="0" style="9" hidden="1" customWidth="1"/>
    <col min="9235" max="9235" width="11.85546875" style="9" customWidth="1"/>
    <col min="9236" max="9236" width="15.85546875" style="9" customWidth="1"/>
    <col min="9237" max="9237" width="15.42578125" style="9" customWidth="1"/>
    <col min="9238" max="9238" width="12.42578125" style="9" customWidth="1"/>
    <col min="9239" max="9239" width="11.140625" style="9" customWidth="1"/>
    <col min="9240" max="9240" width="15.42578125" style="9" customWidth="1"/>
    <col min="9241" max="9242" width="0" style="9" hidden="1" customWidth="1"/>
    <col min="9243" max="9243" width="15" style="9" customWidth="1"/>
    <col min="9244" max="9244" width="9.42578125" style="9" customWidth="1"/>
    <col min="9245" max="9245" width="10.5703125" style="9" customWidth="1"/>
    <col min="9246" max="9246" width="9.5703125" style="9" customWidth="1"/>
    <col min="9247" max="9247" width="11.42578125" style="9" customWidth="1"/>
    <col min="9248" max="9248" width="9.140625" style="9"/>
    <col min="9249" max="9249" width="12.5703125" style="9" bestFit="1" customWidth="1"/>
    <col min="9250" max="9250" width="20.140625" style="9" bestFit="1" customWidth="1"/>
    <col min="9251" max="9472" width="9.140625" style="9"/>
    <col min="9473" max="9473" width="5.42578125" style="9" customWidth="1"/>
    <col min="9474" max="9474" width="45.140625" style="9" customWidth="1"/>
    <col min="9475" max="9475" width="15.140625" style="9" customWidth="1"/>
    <col min="9476" max="9476" width="16.42578125" style="9" customWidth="1"/>
    <col min="9477" max="9477" width="17.140625" style="9" customWidth="1"/>
    <col min="9478" max="9480" width="0" style="9" hidden="1" customWidth="1"/>
    <col min="9481" max="9482" width="15.85546875" style="9" customWidth="1"/>
    <col min="9483" max="9483" width="11.140625" style="9" customWidth="1"/>
    <col min="9484" max="9484" width="11.85546875" style="9" customWidth="1"/>
    <col min="9485" max="9485" width="10.42578125" style="9" customWidth="1"/>
    <col min="9486" max="9486" width="16.42578125" style="9" customWidth="1"/>
    <col min="9487" max="9487" width="14.140625" style="9" customWidth="1"/>
    <col min="9488" max="9488" width="15.85546875" style="9" customWidth="1"/>
    <col min="9489" max="9490" width="0" style="9" hidden="1" customWidth="1"/>
    <col min="9491" max="9491" width="11.85546875" style="9" customWidth="1"/>
    <col min="9492" max="9492" width="15.85546875" style="9" customWidth="1"/>
    <col min="9493" max="9493" width="15.42578125" style="9" customWidth="1"/>
    <col min="9494" max="9494" width="12.42578125" style="9" customWidth="1"/>
    <col min="9495" max="9495" width="11.140625" style="9" customWidth="1"/>
    <col min="9496" max="9496" width="15.42578125" style="9" customWidth="1"/>
    <col min="9497" max="9498" width="0" style="9" hidden="1" customWidth="1"/>
    <col min="9499" max="9499" width="15" style="9" customWidth="1"/>
    <col min="9500" max="9500" width="9.42578125" style="9" customWidth="1"/>
    <col min="9501" max="9501" width="10.5703125" style="9" customWidth="1"/>
    <col min="9502" max="9502" width="9.5703125" style="9" customWidth="1"/>
    <col min="9503" max="9503" width="11.42578125" style="9" customWidth="1"/>
    <col min="9504" max="9504" width="9.140625" style="9"/>
    <col min="9505" max="9505" width="12.5703125" style="9" bestFit="1" customWidth="1"/>
    <col min="9506" max="9506" width="20.140625" style="9" bestFit="1" customWidth="1"/>
    <col min="9507" max="9728" width="9.140625" style="9"/>
    <col min="9729" max="9729" width="5.42578125" style="9" customWidth="1"/>
    <col min="9730" max="9730" width="45.140625" style="9" customWidth="1"/>
    <col min="9731" max="9731" width="15.140625" style="9" customWidth="1"/>
    <col min="9732" max="9732" width="16.42578125" style="9" customWidth="1"/>
    <col min="9733" max="9733" width="17.140625" style="9" customWidth="1"/>
    <col min="9734" max="9736" width="0" style="9" hidden="1" customWidth="1"/>
    <col min="9737" max="9738" width="15.85546875" style="9" customWidth="1"/>
    <col min="9739" max="9739" width="11.140625" style="9" customWidth="1"/>
    <col min="9740" max="9740" width="11.85546875" style="9" customWidth="1"/>
    <col min="9741" max="9741" width="10.42578125" style="9" customWidth="1"/>
    <col min="9742" max="9742" width="16.42578125" style="9" customWidth="1"/>
    <col min="9743" max="9743" width="14.140625" style="9" customWidth="1"/>
    <col min="9744" max="9744" width="15.85546875" style="9" customWidth="1"/>
    <col min="9745" max="9746" width="0" style="9" hidden="1" customWidth="1"/>
    <col min="9747" max="9747" width="11.85546875" style="9" customWidth="1"/>
    <col min="9748" max="9748" width="15.85546875" style="9" customWidth="1"/>
    <col min="9749" max="9749" width="15.42578125" style="9" customWidth="1"/>
    <col min="9750" max="9750" width="12.42578125" style="9" customWidth="1"/>
    <col min="9751" max="9751" width="11.140625" style="9" customWidth="1"/>
    <col min="9752" max="9752" width="15.42578125" style="9" customWidth="1"/>
    <col min="9753" max="9754" width="0" style="9" hidden="1" customWidth="1"/>
    <col min="9755" max="9755" width="15" style="9" customWidth="1"/>
    <col min="9756" max="9756" width="9.42578125" style="9" customWidth="1"/>
    <col min="9757" max="9757" width="10.5703125" style="9" customWidth="1"/>
    <col min="9758" max="9758" width="9.5703125" style="9" customWidth="1"/>
    <col min="9759" max="9759" width="11.42578125" style="9" customWidth="1"/>
    <col min="9760" max="9760" width="9.140625" style="9"/>
    <col min="9761" max="9761" width="12.5703125" style="9" bestFit="1" customWidth="1"/>
    <col min="9762" max="9762" width="20.140625" style="9" bestFit="1" customWidth="1"/>
    <col min="9763" max="9984" width="9.140625" style="9"/>
    <col min="9985" max="9985" width="5.42578125" style="9" customWidth="1"/>
    <col min="9986" max="9986" width="45.140625" style="9" customWidth="1"/>
    <col min="9987" max="9987" width="15.140625" style="9" customWidth="1"/>
    <col min="9988" max="9988" width="16.42578125" style="9" customWidth="1"/>
    <col min="9989" max="9989" width="17.140625" style="9" customWidth="1"/>
    <col min="9990" max="9992" width="0" style="9" hidden="1" customWidth="1"/>
    <col min="9993" max="9994" width="15.85546875" style="9" customWidth="1"/>
    <col min="9995" max="9995" width="11.140625" style="9" customWidth="1"/>
    <col min="9996" max="9996" width="11.85546875" style="9" customWidth="1"/>
    <col min="9997" max="9997" width="10.42578125" style="9" customWidth="1"/>
    <col min="9998" max="9998" width="16.42578125" style="9" customWidth="1"/>
    <col min="9999" max="9999" width="14.140625" style="9" customWidth="1"/>
    <col min="10000" max="10000" width="15.85546875" style="9" customWidth="1"/>
    <col min="10001" max="10002" width="0" style="9" hidden="1" customWidth="1"/>
    <col min="10003" max="10003" width="11.85546875" style="9" customWidth="1"/>
    <col min="10004" max="10004" width="15.85546875" style="9" customWidth="1"/>
    <col min="10005" max="10005" width="15.42578125" style="9" customWidth="1"/>
    <col min="10006" max="10006" width="12.42578125" style="9" customWidth="1"/>
    <col min="10007" max="10007" width="11.140625" style="9" customWidth="1"/>
    <col min="10008" max="10008" width="15.42578125" style="9" customWidth="1"/>
    <col min="10009" max="10010" width="0" style="9" hidden="1" customWidth="1"/>
    <col min="10011" max="10011" width="15" style="9" customWidth="1"/>
    <col min="10012" max="10012" width="9.42578125" style="9" customWidth="1"/>
    <col min="10013" max="10013" width="10.5703125" style="9" customWidth="1"/>
    <col min="10014" max="10014" width="9.5703125" style="9" customWidth="1"/>
    <col min="10015" max="10015" width="11.42578125" style="9" customWidth="1"/>
    <col min="10016" max="10016" width="9.140625" style="9"/>
    <col min="10017" max="10017" width="12.5703125" style="9" bestFit="1" customWidth="1"/>
    <col min="10018" max="10018" width="20.140625" style="9" bestFit="1" customWidth="1"/>
    <col min="10019" max="10240" width="9.140625" style="9"/>
    <col min="10241" max="10241" width="5.42578125" style="9" customWidth="1"/>
    <col min="10242" max="10242" width="45.140625" style="9" customWidth="1"/>
    <col min="10243" max="10243" width="15.140625" style="9" customWidth="1"/>
    <col min="10244" max="10244" width="16.42578125" style="9" customWidth="1"/>
    <col min="10245" max="10245" width="17.140625" style="9" customWidth="1"/>
    <col min="10246" max="10248" width="0" style="9" hidden="1" customWidth="1"/>
    <col min="10249" max="10250" width="15.85546875" style="9" customWidth="1"/>
    <col min="10251" max="10251" width="11.140625" style="9" customWidth="1"/>
    <col min="10252" max="10252" width="11.85546875" style="9" customWidth="1"/>
    <col min="10253" max="10253" width="10.42578125" style="9" customWidth="1"/>
    <col min="10254" max="10254" width="16.42578125" style="9" customWidth="1"/>
    <col min="10255" max="10255" width="14.140625" style="9" customWidth="1"/>
    <col min="10256" max="10256" width="15.85546875" style="9" customWidth="1"/>
    <col min="10257" max="10258" width="0" style="9" hidden="1" customWidth="1"/>
    <col min="10259" max="10259" width="11.85546875" style="9" customWidth="1"/>
    <col min="10260" max="10260" width="15.85546875" style="9" customWidth="1"/>
    <col min="10261" max="10261" width="15.42578125" style="9" customWidth="1"/>
    <col min="10262" max="10262" width="12.42578125" style="9" customWidth="1"/>
    <col min="10263" max="10263" width="11.140625" style="9" customWidth="1"/>
    <col min="10264" max="10264" width="15.42578125" style="9" customWidth="1"/>
    <col min="10265" max="10266" width="0" style="9" hidden="1" customWidth="1"/>
    <col min="10267" max="10267" width="15" style="9" customWidth="1"/>
    <col min="10268" max="10268" width="9.42578125" style="9" customWidth="1"/>
    <col min="10269" max="10269" width="10.5703125" style="9" customWidth="1"/>
    <col min="10270" max="10270" width="9.5703125" style="9" customWidth="1"/>
    <col min="10271" max="10271" width="11.42578125" style="9" customWidth="1"/>
    <col min="10272" max="10272" width="9.140625" style="9"/>
    <col min="10273" max="10273" width="12.5703125" style="9" bestFit="1" customWidth="1"/>
    <col min="10274" max="10274" width="20.140625" style="9" bestFit="1" customWidth="1"/>
    <col min="10275" max="10496" width="9.140625" style="9"/>
    <col min="10497" max="10497" width="5.42578125" style="9" customWidth="1"/>
    <col min="10498" max="10498" width="45.140625" style="9" customWidth="1"/>
    <col min="10499" max="10499" width="15.140625" style="9" customWidth="1"/>
    <col min="10500" max="10500" width="16.42578125" style="9" customWidth="1"/>
    <col min="10501" max="10501" width="17.140625" style="9" customWidth="1"/>
    <col min="10502" max="10504" width="0" style="9" hidden="1" customWidth="1"/>
    <col min="10505" max="10506" width="15.85546875" style="9" customWidth="1"/>
    <col min="10507" max="10507" width="11.140625" style="9" customWidth="1"/>
    <col min="10508" max="10508" width="11.85546875" style="9" customWidth="1"/>
    <col min="10509" max="10509" width="10.42578125" style="9" customWidth="1"/>
    <col min="10510" max="10510" width="16.42578125" style="9" customWidth="1"/>
    <col min="10511" max="10511" width="14.140625" style="9" customWidth="1"/>
    <col min="10512" max="10512" width="15.85546875" style="9" customWidth="1"/>
    <col min="10513" max="10514" width="0" style="9" hidden="1" customWidth="1"/>
    <col min="10515" max="10515" width="11.85546875" style="9" customWidth="1"/>
    <col min="10516" max="10516" width="15.85546875" style="9" customWidth="1"/>
    <col min="10517" max="10517" width="15.42578125" style="9" customWidth="1"/>
    <col min="10518" max="10518" width="12.42578125" style="9" customWidth="1"/>
    <col min="10519" max="10519" width="11.140625" style="9" customWidth="1"/>
    <col min="10520" max="10520" width="15.42578125" style="9" customWidth="1"/>
    <col min="10521" max="10522" width="0" style="9" hidden="1" customWidth="1"/>
    <col min="10523" max="10523" width="15" style="9" customWidth="1"/>
    <col min="10524" max="10524" width="9.42578125" style="9" customWidth="1"/>
    <col min="10525" max="10525" width="10.5703125" style="9" customWidth="1"/>
    <col min="10526" max="10526" width="9.5703125" style="9" customWidth="1"/>
    <col min="10527" max="10527" width="11.42578125" style="9" customWidth="1"/>
    <col min="10528" max="10528" width="9.140625" style="9"/>
    <col min="10529" max="10529" width="12.5703125" style="9" bestFit="1" customWidth="1"/>
    <col min="10530" max="10530" width="20.140625" style="9" bestFit="1" customWidth="1"/>
    <col min="10531" max="10752" width="9.140625" style="9"/>
    <col min="10753" max="10753" width="5.42578125" style="9" customWidth="1"/>
    <col min="10754" max="10754" width="45.140625" style="9" customWidth="1"/>
    <col min="10755" max="10755" width="15.140625" style="9" customWidth="1"/>
    <col min="10756" max="10756" width="16.42578125" style="9" customWidth="1"/>
    <col min="10757" max="10757" width="17.140625" style="9" customWidth="1"/>
    <col min="10758" max="10760" width="0" style="9" hidden="1" customWidth="1"/>
    <col min="10761" max="10762" width="15.85546875" style="9" customWidth="1"/>
    <col min="10763" max="10763" width="11.140625" style="9" customWidth="1"/>
    <col min="10764" max="10764" width="11.85546875" style="9" customWidth="1"/>
    <col min="10765" max="10765" width="10.42578125" style="9" customWidth="1"/>
    <col min="10766" max="10766" width="16.42578125" style="9" customWidth="1"/>
    <col min="10767" max="10767" width="14.140625" style="9" customWidth="1"/>
    <col min="10768" max="10768" width="15.85546875" style="9" customWidth="1"/>
    <col min="10769" max="10770" width="0" style="9" hidden="1" customWidth="1"/>
    <col min="10771" max="10771" width="11.85546875" style="9" customWidth="1"/>
    <col min="10772" max="10772" width="15.85546875" style="9" customWidth="1"/>
    <col min="10773" max="10773" width="15.42578125" style="9" customWidth="1"/>
    <col min="10774" max="10774" width="12.42578125" style="9" customWidth="1"/>
    <col min="10775" max="10775" width="11.140625" style="9" customWidth="1"/>
    <col min="10776" max="10776" width="15.42578125" style="9" customWidth="1"/>
    <col min="10777" max="10778" width="0" style="9" hidden="1" customWidth="1"/>
    <col min="10779" max="10779" width="15" style="9" customWidth="1"/>
    <col min="10780" max="10780" width="9.42578125" style="9" customWidth="1"/>
    <col min="10781" max="10781" width="10.5703125" style="9" customWidth="1"/>
    <col min="10782" max="10782" width="9.5703125" style="9" customWidth="1"/>
    <col min="10783" max="10783" width="11.42578125" style="9" customWidth="1"/>
    <col min="10784" max="10784" width="9.140625" style="9"/>
    <col min="10785" max="10785" width="12.5703125" style="9" bestFit="1" customWidth="1"/>
    <col min="10786" max="10786" width="20.140625" style="9" bestFit="1" customWidth="1"/>
    <col min="10787" max="11008" width="9.140625" style="9"/>
    <col min="11009" max="11009" width="5.42578125" style="9" customWidth="1"/>
    <col min="11010" max="11010" width="45.140625" style="9" customWidth="1"/>
    <col min="11011" max="11011" width="15.140625" style="9" customWidth="1"/>
    <col min="11012" max="11012" width="16.42578125" style="9" customWidth="1"/>
    <col min="11013" max="11013" width="17.140625" style="9" customWidth="1"/>
    <col min="11014" max="11016" width="0" style="9" hidden="1" customWidth="1"/>
    <col min="11017" max="11018" width="15.85546875" style="9" customWidth="1"/>
    <col min="11019" max="11019" width="11.140625" style="9" customWidth="1"/>
    <col min="11020" max="11020" width="11.85546875" style="9" customWidth="1"/>
    <col min="11021" max="11021" width="10.42578125" style="9" customWidth="1"/>
    <col min="11022" max="11022" width="16.42578125" style="9" customWidth="1"/>
    <col min="11023" max="11023" width="14.140625" style="9" customWidth="1"/>
    <col min="11024" max="11024" width="15.85546875" style="9" customWidth="1"/>
    <col min="11025" max="11026" width="0" style="9" hidden="1" customWidth="1"/>
    <col min="11027" max="11027" width="11.85546875" style="9" customWidth="1"/>
    <col min="11028" max="11028" width="15.85546875" style="9" customWidth="1"/>
    <col min="11029" max="11029" width="15.42578125" style="9" customWidth="1"/>
    <col min="11030" max="11030" width="12.42578125" style="9" customWidth="1"/>
    <col min="11031" max="11031" width="11.140625" style="9" customWidth="1"/>
    <col min="11032" max="11032" width="15.42578125" style="9" customWidth="1"/>
    <col min="11033" max="11034" width="0" style="9" hidden="1" customWidth="1"/>
    <col min="11035" max="11035" width="15" style="9" customWidth="1"/>
    <col min="11036" max="11036" width="9.42578125" style="9" customWidth="1"/>
    <col min="11037" max="11037" width="10.5703125" style="9" customWidth="1"/>
    <col min="11038" max="11038" width="9.5703125" style="9" customWidth="1"/>
    <col min="11039" max="11039" width="11.42578125" style="9" customWidth="1"/>
    <col min="11040" max="11040" width="9.140625" style="9"/>
    <col min="11041" max="11041" width="12.5703125" style="9" bestFit="1" customWidth="1"/>
    <col min="11042" max="11042" width="20.140625" style="9" bestFit="1" customWidth="1"/>
    <col min="11043" max="11264" width="9.140625" style="9"/>
    <col min="11265" max="11265" width="5.42578125" style="9" customWidth="1"/>
    <col min="11266" max="11266" width="45.140625" style="9" customWidth="1"/>
    <col min="11267" max="11267" width="15.140625" style="9" customWidth="1"/>
    <col min="11268" max="11268" width="16.42578125" style="9" customWidth="1"/>
    <col min="11269" max="11269" width="17.140625" style="9" customWidth="1"/>
    <col min="11270" max="11272" width="0" style="9" hidden="1" customWidth="1"/>
    <col min="11273" max="11274" width="15.85546875" style="9" customWidth="1"/>
    <col min="11275" max="11275" width="11.140625" style="9" customWidth="1"/>
    <col min="11276" max="11276" width="11.85546875" style="9" customWidth="1"/>
    <col min="11277" max="11277" width="10.42578125" style="9" customWidth="1"/>
    <col min="11278" max="11278" width="16.42578125" style="9" customWidth="1"/>
    <col min="11279" max="11279" width="14.140625" style="9" customWidth="1"/>
    <col min="11280" max="11280" width="15.85546875" style="9" customWidth="1"/>
    <col min="11281" max="11282" width="0" style="9" hidden="1" customWidth="1"/>
    <col min="11283" max="11283" width="11.85546875" style="9" customWidth="1"/>
    <col min="11284" max="11284" width="15.85546875" style="9" customWidth="1"/>
    <col min="11285" max="11285" width="15.42578125" style="9" customWidth="1"/>
    <col min="11286" max="11286" width="12.42578125" style="9" customWidth="1"/>
    <col min="11287" max="11287" width="11.140625" style="9" customWidth="1"/>
    <col min="11288" max="11288" width="15.42578125" style="9" customWidth="1"/>
    <col min="11289" max="11290" width="0" style="9" hidden="1" customWidth="1"/>
    <col min="11291" max="11291" width="15" style="9" customWidth="1"/>
    <col min="11292" max="11292" width="9.42578125" style="9" customWidth="1"/>
    <col min="11293" max="11293" width="10.5703125" style="9" customWidth="1"/>
    <col min="11294" max="11294" width="9.5703125" style="9" customWidth="1"/>
    <col min="11295" max="11295" width="11.42578125" style="9" customWidth="1"/>
    <col min="11296" max="11296" width="9.140625" style="9"/>
    <col min="11297" max="11297" width="12.5703125" style="9" bestFit="1" customWidth="1"/>
    <col min="11298" max="11298" width="20.140625" style="9" bestFit="1" customWidth="1"/>
    <col min="11299" max="11520" width="9.140625" style="9"/>
    <col min="11521" max="11521" width="5.42578125" style="9" customWidth="1"/>
    <col min="11522" max="11522" width="45.140625" style="9" customWidth="1"/>
    <col min="11523" max="11523" width="15.140625" style="9" customWidth="1"/>
    <col min="11524" max="11524" width="16.42578125" style="9" customWidth="1"/>
    <col min="11525" max="11525" width="17.140625" style="9" customWidth="1"/>
    <col min="11526" max="11528" width="0" style="9" hidden="1" customWidth="1"/>
    <col min="11529" max="11530" width="15.85546875" style="9" customWidth="1"/>
    <col min="11531" max="11531" width="11.140625" style="9" customWidth="1"/>
    <col min="11532" max="11532" width="11.85546875" style="9" customWidth="1"/>
    <col min="11533" max="11533" width="10.42578125" style="9" customWidth="1"/>
    <col min="11534" max="11534" width="16.42578125" style="9" customWidth="1"/>
    <col min="11535" max="11535" width="14.140625" style="9" customWidth="1"/>
    <col min="11536" max="11536" width="15.85546875" style="9" customWidth="1"/>
    <col min="11537" max="11538" width="0" style="9" hidden="1" customWidth="1"/>
    <col min="11539" max="11539" width="11.85546875" style="9" customWidth="1"/>
    <col min="11540" max="11540" width="15.85546875" style="9" customWidth="1"/>
    <col min="11541" max="11541" width="15.42578125" style="9" customWidth="1"/>
    <col min="11542" max="11542" width="12.42578125" style="9" customWidth="1"/>
    <col min="11543" max="11543" width="11.140625" style="9" customWidth="1"/>
    <col min="11544" max="11544" width="15.42578125" style="9" customWidth="1"/>
    <col min="11545" max="11546" width="0" style="9" hidden="1" customWidth="1"/>
    <col min="11547" max="11547" width="15" style="9" customWidth="1"/>
    <col min="11548" max="11548" width="9.42578125" style="9" customWidth="1"/>
    <col min="11549" max="11549" width="10.5703125" style="9" customWidth="1"/>
    <col min="11550" max="11550" width="9.5703125" style="9" customWidth="1"/>
    <col min="11551" max="11551" width="11.42578125" style="9" customWidth="1"/>
    <col min="11552" max="11552" width="9.140625" style="9"/>
    <col min="11553" max="11553" width="12.5703125" style="9" bestFit="1" customWidth="1"/>
    <col min="11554" max="11554" width="20.140625" style="9" bestFit="1" customWidth="1"/>
    <col min="11555" max="11776" width="9.140625" style="9"/>
    <col min="11777" max="11777" width="5.42578125" style="9" customWidth="1"/>
    <col min="11778" max="11778" width="45.140625" style="9" customWidth="1"/>
    <col min="11779" max="11779" width="15.140625" style="9" customWidth="1"/>
    <col min="11780" max="11780" width="16.42578125" style="9" customWidth="1"/>
    <col min="11781" max="11781" width="17.140625" style="9" customWidth="1"/>
    <col min="11782" max="11784" width="0" style="9" hidden="1" customWidth="1"/>
    <col min="11785" max="11786" width="15.85546875" style="9" customWidth="1"/>
    <col min="11787" max="11787" width="11.140625" style="9" customWidth="1"/>
    <col min="11788" max="11788" width="11.85546875" style="9" customWidth="1"/>
    <col min="11789" max="11789" width="10.42578125" style="9" customWidth="1"/>
    <col min="11790" max="11790" width="16.42578125" style="9" customWidth="1"/>
    <col min="11791" max="11791" width="14.140625" style="9" customWidth="1"/>
    <col min="11792" max="11792" width="15.85546875" style="9" customWidth="1"/>
    <col min="11793" max="11794" width="0" style="9" hidden="1" customWidth="1"/>
    <col min="11795" max="11795" width="11.85546875" style="9" customWidth="1"/>
    <col min="11796" max="11796" width="15.85546875" style="9" customWidth="1"/>
    <col min="11797" max="11797" width="15.42578125" style="9" customWidth="1"/>
    <col min="11798" max="11798" width="12.42578125" style="9" customWidth="1"/>
    <col min="11799" max="11799" width="11.140625" style="9" customWidth="1"/>
    <col min="11800" max="11800" width="15.42578125" style="9" customWidth="1"/>
    <col min="11801" max="11802" width="0" style="9" hidden="1" customWidth="1"/>
    <col min="11803" max="11803" width="15" style="9" customWidth="1"/>
    <col min="11804" max="11804" width="9.42578125" style="9" customWidth="1"/>
    <col min="11805" max="11805" width="10.5703125" style="9" customWidth="1"/>
    <col min="11806" max="11806" width="9.5703125" style="9" customWidth="1"/>
    <col min="11807" max="11807" width="11.42578125" style="9" customWidth="1"/>
    <col min="11808" max="11808" width="9.140625" style="9"/>
    <col min="11809" max="11809" width="12.5703125" style="9" bestFit="1" customWidth="1"/>
    <col min="11810" max="11810" width="20.140625" style="9" bestFit="1" customWidth="1"/>
    <col min="11811" max="12032" width="9.140625" style="9"/>
    <col min="12033" max="12033" width="5.42578125" style="9" customWidth="1"/>
    <col min="12034" max="12034" width="45.140625" style="9" customWidth="1"/>
    <col min="12035" max="12035" width="15.140625" style="9" customWidth="1"/>
    <col min="12036" max="12036" width="16.42578125" style="9" customWidth="1"/>
    <col min="12037" max="12037" width="17.140625" style="9" customWidth="1"/>
    <col min="12038" max="12040" width="0" style="9" hidden="1" customWidth="1"/>
    <col min="12041" max="12042" width="15.85546875" style="9" customWidth="1"/>
    <col min="12043" max="12043" width="11.140625" style="9" customWidth="1"/>
    <col min="12044" max="12044" width="11.85546875" style="9" customWidth="1"/>
    <col min="12045" max="12045" width="10.42578125" style="9" customWidth="1"/>
    <col min="12046" max="12046" width="16.42578125" style="9" customWidth="1"/>
    <col min="12047" max="12047" width="14.140625" style="9" customWidth="1"/>
    <col min="12048" max="12048" width="15.85546875" style="9" customWidth="1"/>
    <col min="12049" max="12050" width="0" style="9" hidden="1" customWidth="1"/>
    <col min="12051" max="12051" width="11.85546875" style="9" customWidth="1"/>
    <col min="12052" max="12052" width="15.85546875" style="9" customWidth="1"/>
    <col min="12053" max="12053" width="15.42578125" style="9" customWidth="1"/>
    <col min="12054" max="12054" width="12.42578125" style="9" customWidth="1"/>
    <col min="12055" max="12055" width="11.140625" style="9" customWidth="1"/>
    <col min="12056" max="12056" width="15.42578125" style="9" customWidth="1"/>
    <col min="12057" max="12058" width="0" style="9" hidden="1" customWidth="1"/>
    <col min="12059" max="12059" width="15" style="9" customWidth="1"/>
    <col min="12060" max="12060" width="9.42578125" style="9" customWidth="1"/>
    <col min="12061" max="12061" width="10.5703125" style="9" customWidth="1"/>
    <col min="12062" max="12062" width="9.5703125" style="9" customWidth="1"/>
    <col min="12063" max="12063" width="11.42578125" style="9" customWidth="1"/>
    <col min="12064" max="12064" width="9.140625" style="9"/>
    <col min="12065" max="12065" width="12.5703125" style="9" bestFit="1" customWidth="1"/>
    <col min="12066" max="12066" width="20.140625" style="9" bestFit="1" customWidth="1"/>
    <col min="12067" max="12288" width="9.140625" style="9"/>
    <col min="12289" max="12289" width="5.42578125" style="9" customWidth="1"/>
    <col min="12290" max="12290" width="45.140625" style="9" customWidth="1"/>
    <col min="12291" max="12291" width="15.140625" style="9" customWidth="1"/>
    <col min="12292" max="12292" width="16.42578125" style="9" customWidth="1"/>
    <col min="12293" max="12293" width="17.140625" style="9" customWidth="1"/>
    <col min="12294" max="12296" width="0" style="9" hidden="1" customWidth="1"/>
    <col min="12297" max="12298" width="15.85546875" style="9" customWidth="1"/>
    <col min="12299" max="12299" width="11.140625" style="9" customWidth="1"/>
    <col min="12300" max="12300" width="11.85546875" style="9" customWidth="1"/>
    <col min="12301" max="12301" width="10.42578125" style="9" customWidth="1"/>
    <col min="12302" max="12302" width="16.42578125" style="9" customWidth="1"/>
    <col min="12303" max="12303" width="14.140625" style="9" customWidth="1"/>
    <col min="12304" max="12304" width="15.85546875" style="9" customWidth="1"/>
    <col min="12305" max="12306" width="0" style="9" hidden="1" customWidth="1"/>
    <col min="12307" max="12307" width="11.85546875" style="9" customWidth="1"/>
    <col min="12308" max="12308" width="15.85546875" style="9" customWidth="1"/>
    <col min="12309" max="12309" width="15.42578125" style="9" customWidth="1"/>
    <col min="12310" max="12310" width="12.42578125" style="9" customWidth="1"/>
    <col min="12311" max="12311" width="11.140625" style="9" customWidth="1"/>
    <col min="12312" max="12312" width="15.42578125" style="9" customWidth="1"/>
    <col min="12313" max="12314" width="0" style="9" hidden="1" customWidth="1"/>
    <col min="12315" max="12315" width="15" style="9" customWidth="1"/>
    <col min="12316" max="12316" width="9.42578125" style="9" customWidth="1"/>
    <col min="12317" max="12317" width="10.5703125" style="9" customWidth="1"/>
    <col min="12318" max="12318" width="9.5703125" style="9" customWidth="1"/>
    <col min="12319" max="12319" width="11.42578125" style="9" customWidth="1"/>
    <col min="12320" max="12320" width="9.140625" style="9"/>
    <col min="12321" max="12321" width="12.5703125" style="9" bestFit="1" customWidth="1"/>
    <col min="12322" max="12322" width="20.140625" style="9" bestFit="1" customWidth="1"/>
    <col min="12323" max="12544" width="9.140625" style="9"/>
    <col min="12545" max="12545" width="5.42578125" style="9" customWidth="1"/>
    <col min="12546" max="12546" width="45.140625" style="9" customWidth="1"/>
    <col min="12547" max="12547" width="15.140625" style="9" customWidth="1"/>
    <col min="12548" max="12548" width="16.42578125" style="9" customWidth="1"/>
    <col min="12549" max="12549" width="17.140625" style="9" customWidth="1"/>
    <col min="12550" max="12552" width="0" style="9" hidden="1" customWidth="1"/>
    <col min="12553" max="12554" width="15.85546875" style="9" customWidth="1"/>
    <col min="12555" max="12555" width="11.140625" style="9" customWidth="1"/>
    <col min="12556" max="12556" width="11.85546875" style="9" customWidth="1"/>
    <col min="12557" max="12557" width="10.42578125" style="9" customWidth="1"/>
    <col min="12558" max="12558" width="16.42578125" style="9" customWidth="1"/>
    <col min="12559" max="12559" width="14.140625" style="9" customWidth="1"/>
    <col min="12560" max="12560" width="15.85546875" style="9" customWidth="1"/>
    <col min="12561" max="12562" width="0" style="9" hidden="1" customWidth="1"/>
    <col min="12563" max="12563" width="11.85546875" style="9" customWidth="1"/>
    <col min="12564" max="12564" width="15.85546875" style="9" customWidth="1"/>
    <col min="12565" max="12565" width="15.42578125" style="9" customWidth="1"/>
    <col min="12566" max="12566" width="12.42578125" style="9" customWidth="1"/>
    <col min="12567" max="12567" width="11.140625" style="9" customWidth="1"/>
    <col min="12568" max="12568" width="15.42578125" style="9" customWidth="1"/>
    <col min="12569" max="12570" width="0" style="9" hidden="1" customWidth="1"/>
    <col min="12571" max="12571" width="15" style="9" customWidth="1"/>
    <col min="12572" max="12572" width="9.42578125" style="9" customWidth="1"/>
    <col min="12573" max="12573" width="10.5703125" style="9" customWidth="1"/>
    <col min="12574" max="12574" width="9.5703125" style="9" customWidth="1"/>
    <col min="12575" max="12575" width="11.42578125" style="9" customWidth="1"/>
    <col min="12576" max="12576" width="9.140625" style="9"/>
    <col min="12577" max="12577" width="12.5703125" style="9" bestFit="1" customWidth="1"/>
    <col min="12578" max="12578" width="20.140625" style="9" bestFit="1" customWidth="1"/>
    <col min="12579" max="12800" width="9.140625" style="9"/>
    <col min="12801" max="12801" width="5.42578125" style="9" customWidth="1"/>
    <col min="12802" max="12802" width="45.140625" style="9" customWidth="1"/>
    <col min="12803" max="12803" width="15.140625" style="9" customWidth="1"/>
    <col min="12804" max="12804" width="16.42578125" style="9" customWidth="1"/>
    <col min="12805" max="12805" width="17.140625" style="9" customWidth="1"/>
    <col min="12806" max="12808" width="0" style="9" hidden="1" customWidth="1"/>
    <col min="12809" max="12810" width="15.85546875" style="9" customWidth="1"/>
    <col min="12811" max="12811" width="11.140625" style="9" customWidth="1"/>
    <col min="12812" max="12812" width="11.85546875" style="9" customWidth="1"/>
    <col min="12813" max="12813" width="10.42578125" style="9" customWidth="1"/>
    <col min="12814" max="12814" width="16.42578125" style="9" customWidth="1"/>
    <col min="12815" max="12815" width="14.140625" style="9" customWidth="1"/>
    <col min="12816" max="12816" width="15.85546875" style="9" customWidth="1"/>
    <col min="12817" max="12818" width="0" style="9" hidden="1" customWidth="1"/>
    <col min="12819" max="12819" width="11.85546875" style="9" customWidth="1"/>
    <col min="12820" max="12820" width="15.85546875" style="9" customWidth="1"/>
    <col min="12821" max="12821" width="15.42578125" style="9" customWidth="1"/>
    <col min="12822" max="12822" width="12.42578125" style="9" customWidth="1"/>
    <col min="12823" max="12823" width="11.140625" style="9" customWidth="1"/>
    <col min="12824" max="12824" width="15.42578125" style="9" customWidth="1"/>
    <col min="12825" max="12826" width="0" style="9" hidden="1" customWidth="1"/>
    <col min="12827" max="12827" width="15" style="9" customWidth="1"/>
    <col min="12828" max="12828" width="9.42578125" style="9" customWidth="1"/>
    <col min="12829" max="12829" width="10.5703125" style="9" customWidth="1"/>
    <col min="12830" max="12830" width="9.5703125" style="9" customWidth="1"/>
    <col min="12831" max="12831" width="11.42578125" style="9" customWidth="1"/>
    <col min="12832" max="12832" width="9.140625" style="9"/>
    <col min="12833" max="12833" width="12.5703125" style="9" bestFit="1" customWidth="1"/>
    <col min="12834" max="12834" width="20.140625" style="9" bestFit="1" customWidth="1"/>
    <col min="12835" max="13056" width="9.140625" style="9"/>
    <col min="13057" max="13057" width="5.42578125" style="9" customWidth="1"/>
    <col min="13058" max="13058" width="45.140625" style="9" customWidth="1"/>
    <col min="13059" max="13059" width="15.140625" style="9" customWidth="1"/>
    <col min="13060" max="13060" width="16.42578125" style="9" customWidth="1"/>
    <col min="13061" max="13061" width="17.140625" style="9" customWidth="1"/>
    <col min="13062" max="13064" width="0" style="9" hidden="1" customWidth="1"/>
    <col min="13065" max="13066" width="15.85546875" style="9" customWidth="1"/>
    <col min="13067" max="13067" width="11.140625" style="9" customWidth="1"/>
    <col min="13068" max="13068" width="11.85546875" style="9" customWidth="1"/>
    <col min="13069" max="13069" width="10.42578125" style="9" customWidth="1"/>
    <col min="13070" max="13070" width="16.42578125" style="9" customWidth="1"/>
    <col min="13071" max="13071" width="14.140625" style="9" customWidth="1"/>
    <col min="13072" max="13072" width="15.85546875" style="9" customWidth="1"/>
    <col min="13073" max="13074" width="0" style="9" hidden="1" customWidth="1"/>
    <col min="13075" max="13075" width="11.85546875" style="9" customWidth="1"/>
    <col min="13076" max="13076" width="15.85546875" style="9" customWidth="1"/>
    <col min="13077" max="13077" width="15.42578125" style="9" customWidth="1"/>
    <col min="13078" max="13078" width="12.42578125" style="9" customWidth="1"/>
    <col min="13079" max="13079" width="11.140625" style="9" customWidth="1"/>
    <col min="13080" max="13080" width="15.42578125" style="9" customWidth="1"/>
    <col min="13081" max="13082" width="0" style="9" hidden="1" customWidth="1"/>
    <col min="13083" max="13083" width="15" style="9" customWidth="1"/>
    <col min="13084" max="13084" width="9.42578125" style="9" customWidth="1"/>
    <col min="13085" max="13085" width="10.5703125" style="9" customWidth="1"/>
    <col min="13086" max="13086" width="9.5703125" style="9" customWidth="1"/>
    <col min="13087" max="13087" width="11.42578125" style="9" customWidth="1"/>
    <col min="13088" max="13088" width="9.140625" style="9"/>
    <col min="13089" max="13089" width="12.5703125" style="9" bestFit="1" customWidth="1"/>
    <col min="13090" max="13090" width="20.140625" style="9" bestFit="1" customWidth="1"/>
    <col min="13091" max="13312" width="9.140625" style="9"/>
    <col min="13313" max="13313" width="5.42578125" style="9" customWidth="1"/>
    <col min="13314" max="13314" width="45.140625" style="9" customWidth="1"/>
    <col min="13315" max="13315" width="15.140625" style="9" customWidth="1"/>
    <col min="13316" max="13316" width="16.42578125" style="9" customWidth="1"/>
    <col min="13317" max="13317" width="17.140625" style="9" customWidth="1"/>
    <col min="13318" max="13320" width="0" style="9" hidden="1" customWidth="1"/>
    <col min="13321" max="13322" width="15.85546875" style="9" customWidth="1"/>
    <col min="13323" max="13323" width="11.140625" style="9" customWidth="1"/>
    <col min="13324" max="13324" width="11.85546875" style="9" customWidth="1"/>
    <col min="13325" max="13325" width="10.42578125" style="9" customWidth="1"/>
    <col min="13326" max="13326" width="16.42578125" style="9" customWidth="1"/>
    <col min="13327" max="13327" width="14.140625" style="9" customWidth="1"/>
    <col min="13328" max="13328" width="15.85546875" style="9" customWidth="1"/>
    <col min="13329" max="13330" width="0" style="9" hidden="1" customWidth="1"/>
    <col min="13331" max="13331" width="11.85546875" style="9" customWidth="1"/>
    <col min="13332" max="13332" width="15.85546875" style="9" customWidth="1"/>
    <col min="13333" max="13333" width="15.42578125" style="9" customWidth="1"/>
    <col min="13334" max="13334" width="12.42578125" style="9" customWidth="1"/>
    <col min="13335" max="13335" width="11.140625" style="9" customWidth="1"/>
    <col min="13336" max="13336" width="15.42578125" style="9" customWidth="1"/>
    <col min="13337" max="13338" width="0" style="9" hidden="1" customWidth="1"/>
    <col min="13339" max="13339" width="15" style="9" customWidth="1"/>
    <col min="13340" max="13340" width="9.42578125" style="9" customWidth="1"/>
    <col min="13341" max="13341" width="10.5703125" style="9" customWidth="1"/>
    <col min="13342" max="13342" width="9.5703125" style="9" customWidth="1"/>
    <col min="13343" max="13343" width="11.42578125" style="9" customWidth="1"/>
    <col min="13344" max="13344" width="9.140625" style="9"/>
    <col min="13345" max="13345" width="12.5703125" style="9" bestFit="1" customWidth="1"/>
    <col min="13346" max="13346" width="20.140625" style="9" bestFit="1" customWidth="1"/>
    <col min="13347" max="13568" width="9.140625" style="9"/>
    <col min="13569" max="13569" width="5.42578125" style="9" customWidth="1"/>
    <col min="13570" max="13570" width="45.140625" style="9" customWidth="1"/>
    <col min="13571" max="13571" width="15.140625" style="9" customWidth="1"/>
    <col min="13572" max="13572" width="16.42578125" style="9" customWidth="1"/>
    <col min="13573" max="13573" width="17.140625" style="9" customWidth="1"/>
    <col min="13574" max="13576" width="0" style="9" hidden="1" customWidth="1"/>
    <col min="13577" max="13578" width="15.85546875" style="9" customWidth="1"/>
    <col min="13579" max="13579" width="11.140625" style="9" customWidth="1"/>
    <col min="13580" max="13580" width="11.85546875" style="9" customWidth="1"/>
    <col min="13581" max="13581" width="10.42578125" style="9" customWidth="1"/>
    <col min="13582" max="13582" width="16.42578125" style="9" customWidth="1"/>
    <col min="13583" max="13583" width="14.140625" style="9" customWidth="1"/>
    <col min="13584" max="13584" width="15.85546875" style="9" customWidth="1"/>
    <col min="13585" max="13586" width="0" style="9" hidden="1" customWidth="1"/>
    <col min="13587" max="13587" width="11.85546875" style="9" customWidth="1"/>
    <col min="13588" max="13588" width="15.85546875" style="9" customWidth="1"/>
    <col min="13589" max="13589" width="15.42578125" style="9" customWidth="1"/>
    <col min="13590" max="13590" width="12.42578125" style="9" customWidth="1"/>
    <col min="13591" max="13591" width="11.140625" style="9" customWidth="1"/>
    <col min="13592" max="13592" width="15.42578125" style="9" customWidth="1"/>
    <col min="13593" max="13594" width="0" style="9" hidden="1" customWidth="1"/>
    <col min="13595" max="13595" width="15" style="9" customWidth="1"/>
    <col min="13596" max="13596" width="9.42578125" style="9" customWidth="1"/>
    <col min="13597" max="13597" width="10.5703125" style="9" customWidth="1"/>
    <col min="13598" max="13598" width="9.5703125" style="9" customWidth="1"/>
    <col min="13599" max="13599" width="11.42578125" style="9" customWidth="1"/>
    <col min="13600" max="13600" width="9.140625" style="9"/>
    <col min="13601" max="13601" width="12.5703125" style="9" bestFit="1" customWidth="1"/>
    <col min="13602" max="13602" width="20.140625" style="9" bestFit="1" customWidth="1"/>
    <col min="13603" max="13824" width="9.140625" style="9"/>
    <col min="13825" max="13825" width="5.42578125" style="9" customWidth="1"/>
    <col min="13826" max="13826" width="45.140625" style="9" customWidth="1"/>
    <col min="13827" max="13827" width="15.140625" style="9" customWidth="1"/>
    <col min="13828" max="13828" width="16.42578125" style="9" customWidth="1"/>
    <col min="13829" max="13829" width="17.140625" style="9" customWidth="1"/>
    <col min="13830" max="13832" width="0" style="9" hidden="1" customWidth="1"/>
    <col min="13833" max="13834" width="15.85546875" style="9" customWidth="1"/>
    <col min="13835" max="13835" width="11.140625" style="9" customWidth="1"/>
    <col min="13836" max="13836" width="11.85546875" style="9" customWidth="1"/>
    <col min="13837" max="13837" width="10.42578125" style="9" customWidth="1"/>
    <col min="13838" max="13838" width="16.42578125" style="9" customWidth="1"/>
    <col min="13839" max="13839" width="14.140625" style="9" customWidth="1"/>
    <col min="13840" max="13840" width="15.85546875" style="9" customWidth="1"/>
    <col min="13841" max="13842" width="0" style="9" hidden="1" customWidth="1"/>
    <col min="13843" max="13843" width="11.85546875" style="9" customWidth="1"/>
    <col min="13844" max="13844" width="15.85546875" style="9" customWidth="1"/>
    <col min="13845" max="13845" width="15.42578125" style="9" customWidth="1"/>
    <col min="13846" max="13846" width="12.42578125" style="9" customWidth="1"/>
    <col min="13847" max="13847" width="11.140625" style="9" customWidth="1"/>
    <col min="13848" max="13848" width="15.42578125" style="9" customWidth="1"/>
    <col min="13849" max="13850" width="0" style="9" hidden="1" customWidth="1"/>
    <col min="13851" max="13851" width="15" style="9" customWidth="1"/>
    <col min="13852" max="13852" width="9.42578125" style="9" customWidth="1"/>
    <col min="13853" max="13853" width="10.5703125" style="9" customWidth="1"/>
    <col min="13854" max="13854" width="9.5703125" style="9" customWidth="1"/>
    <col min="13855" max="13855" width="11.42578125" style="9" customWidth="1"/>
    <col min="13856" max="13856" width="9.140625" style="9"/>
    <col min="13857" max="13857" width="12.5703125" style="9" bestFit="1" customWidth="1"/>
    <col min="13858" max="13858" width="20.140625" style="9" bestFit="1" customWidth="1"/>
    <col min="13859" max="14080" width="9.140625" style="9"/>
    <col min="14081" max="14081" width="5.42578125" style="9" customWidth="1"/>
    <col min="14082" max="14082" width="45.140625" style="9" customWidth="1"/>
    <col min="14083" max="14083" width="15.140625" style="9" customWidth="1"/>
    <col min="14084" max="14084" width="16.42578125" style="9" customWidth="1"/>
    <col min="14085" max="14085" width="17.140625" style="9" customWidth="1"/>
    <col min="14086" max="14088" width="0" style="9" hidden="1" customWidth="1"/>
    <col min="14089" max="14090" width="15.85546875" style="9" customWidth="1"/>
    <col min="14091" max="14091" width="11.140625" style="9" customWidth="1"/>
    <col min="14092" max="14092" width="11.85546875" style="9" customWidth="1"/>
    <col min="14093" max="14093" width="10.42578125" style="9" customWidth="1"/>
    <col min="14094" max="14094" width="16.42578125" style="9" customWidth="1"/>
    <col min="14095" max="14095" width="14.140625" style="9" customWidth="1"/>
    <col min="14096" max="14096" width="15.85546875" style="9" customWidth="1"/>
    <col min="14097" max="14098" width="0" style="9" hidden="1" customWidth="1"/>
    <col min="14099" max="14099" width="11.85546875" style="9" customWidth="1"/>
    <col min="14100" max="14100" width="15.85546875" style="9" customWidth="1"/>
    <col min="14101" max="14101" width="15.42578125" style="9" customWidth="1"/>
    <col min="14102" max="14102" width="12.42578125" style="9" customWidth="1"/>
    <col min="14103" max="14103" width="11.140625" style="9" customWidth="1"/>
    <col min="14104" max="14104" width="15.42578125" style="9" customWidth="1"/>
    <col min="14105" max="14106" width="0" style="9" hidden="1" customWidth="1"/>
    <col min="14107" max="14107" width="15" style="9" customWidth="1"/>
    <col min="14108" max="14108" width="9.42578125" style="9" customWidth="1"/>
    <col min="14109" max="14109" width="10.5703125" style="9" customWidth="1"/>
    <col min="14110" max="14110" width="9.5703125" style="9" customWidth="1"/>
    <col min="14111" max="14111" width="11.42578125" style="9" customWidth="1"/>
    <col min="14112" max="14112" width="9.140625" style="9"/>
    <col min="14113" max="14113" width="12.5703125" style="9" bestFit="1" customWidth="1"/>
    <col min="14114" max="14114" width="20.140625" style="9" bestFit="1" customWidth="1"/>
    <col min="14115" max="14336" width="9.140625" style="9"/>
    <col min="14337" max="14337" width="5.42578125" style="9" customWidth="1"/>
    <col min="14338" max="14338" width="45.140625" style="9" customWidth="1"/>
    <col min="14339" max="14339" width="15.140625" style="9" customWidth="1"/>
    <col min="14340" max="14340" width="16.42578125" style="9" customWidth="1"/>
    <col min="14341" max="14341" width="17.140625" style="9" customWidth="1"/>
    <col min="14342" max="14344" width="0" style="9" hidden="1" customWidth="1"/>
    <col min="14345" max="14346" width="15.85546875" style="9" customWidth="1"/>
    <col min="14347" max="14347" width="11.140625" style="9" customWidth="1"/>
    <col min="14348" max="14348" width="11.85546875" style="9" customWidth="1"/>
    <col min="14349" max="14349" width="10.42578125" style="9" customWidth="1"/>
    <col min="14350" max="14350" width="16.42578125" style="9" customWidth="1"/>
    <col min="14351" max="14351" width="14.140625" style="9" customWidth="1"/>
    <col min="14352" max="14352" width="15.85546875" style="9" customWidth="1"/>
    <col min="14353" max="14354" width="0" style="9" hidden="1" customWidth="1"/>
    <col min="14355" max="14355" width="11.85546875" style="9" customWidth="1"/>
    <col min="14356" max="14356" width="15.85546875" style="9" customWidth="1"/>
    <col min="14357" max="14357" width="15.42578125" style="9" customWidth="1"/>
    <col min="14358" max="14358" width="12.42578125" style="9" customWidth="1"/>
    <col min="14359" max="14359" width="11.140625" style="9" customWidth="1"/>
    <col min="14360" max="14360" width="15.42578125" style="9" customWidth="1"/>
    <col min="14361" max="14362" width="0" style="9" hidden="1" customWidth="1"/>
    <col min="14363" max="14363" width="15" style="9" customWidth="1"/>
    <col min="14364" max="14364" width="9.42578125" style="9" customWidth="1"/>
    <col min="14365" max="14365" width="10.5703125" style="9" customWidth="1"/>
    <col min="14366" max="14366" width="9.5703125" style="9" customWidth="1"/>
    <col min="14367" max="14367" width="11.42578125" style="9" customWidth="1"/>
    <col min="14368" max="14368" width="9.140625" style="9"/>
    <col min="14369" max="14369" width="12.5703125" style="9" bestFit="1" customWidth="1"/>
    <col min="14370" max="14370" width="20.140625" style="9" bestFit="1" customWidth="1"/>
    <col min="14371" max="14592" width="9.140625" style="9"/>
    <col min="14593" max="14593" width="5.42578125" style="9" customWidth="1"/>
    <col min="14594" max="14594" width="45.140625" style="9" customWidth="1"/>
    <col min="14595" max="14595" width="15.140625" style="9" customWidth="1"/>
    <col min="14596" max="14596" width="16.42578125" style="9" customWidth="1"/>
    <col min="14597" max="14597" width="17.140625" style="9" customWidth="1"/>
    <col min="14598" max="14600" width="0" style="9" hidden="1" customWidth="1"/>
    <col min="14601" max="14602" width="15.85546875" style="9" customWidth="1"/>
    <col min="14603" max="14603" width="11.140625" style="9" customWidth="1"/>
    <col min="14604" max="14604" width="11.85546875" style="9" customWidth="1"/>
    <col min="14605" max="14605" width="10.42578125" style="9" customWidth="1"/>
    <col min="14606" max="14606" width="16.42578125" style="9" customWidth="1"/>
    <col min="14607" max="14607" width="14.140625" style="9" customWidth="1"/>
    <col min="14608" max="14608" width="15.85546875" style="9" customWidth="1"/>
    <col min="14609" max="14610" width="0" style="9" hidden="1" customWidth="1"/>
    <col min="14611" max="14611" width="11.85546875" style="9" customWidth="1"/>
    <col min="14612" max="14612" width="15.85546875" style="9" customWidth="1"/>
    <col min="14613" max="14613" width="15.42578125" style="9" customWidth="1"/>
    <col min="14614" max="14614" width="12.42578125" style="9" customWidth="1"/>
    <col min="14615" max="14615" width="11.140625" style="9" customWidth="1"/>
    <col min="14616" max="14616" width="15.42578125" style="9" customWidth="1"/>
    <col min="14617" max="14618" width="0" style="9" hidden="1" customWidth="1"/>
    <col min="14619" max="14619" width="15" style="9" customWidth="1"/>
    <col min="14620" max="14620" width="9.42578125" style="9" customWidth="1"/>
    <col min="14621" max="14621" width="10.5703125" style="9" customWidth="1"/>
    <col min="14622" max="14622" width="9.5703125" style="9" customWidth="1"/>
    <col min="14623" max="14623" width="11.42578125" style="9" customWidth="1"/>
    <col min="14624" max="14624" width="9.140625" style="9"/>
    <col min="14625" max="14625" width="12.5703125" style="9" bestFit="1" customWidth="1"/>
    <col min="14626" max="14626" width="20.140625" style="9" bestFit="1" customWidth="1"/>
    <col min="14627" max="14848" width="9.140625" style="9"/>
    <col min="14849" max="14849" width="5.42578125" style="9" customWidth="1"/>
    <col min="14850" max="14850" width="45.140625" style="9" customWidth="1"/>
    <col min="14851" max="14851" width="15.140625" style="9" customWidth="1"/>
    <col min="14852" max="14852" width="16.42578125" style="9" customWidth="1"/>
    <col min="14853" max="14853" width="17.140625" style="9" customWidth="1"/>
    <col min="14854" max="14856" width="0" style="9" hidden="1" customWidth="1"/>
    <col min="14857" max="14858" width="15.85546875" style="9" customWidth="1"/>
    <col min="14859" max="14859" width="11.140625" style="9" customWidth="1"/>
    <col min="14860" max="14860" width="11.85546875" style="9" customWidth="1"/>
    <col min="14861" max="14861" width="10.42578125" style="9" customWidth="1"/>
    <col min="14862" max="14862" width="16.42578125" style="9" customWidth="1"/>
    <col min="14863" max="14863" width="14.140625" style="9" customWidth="1"/>
    <col min="14864" max="14864" width="15.85546875" style="9" customWidth="1"/>
    <col min="14865" max="14866" width="0" style="9" hidden="1" customWidth="1"/>
    <col min="14867" max="14867" width="11.85546875" style="9" customWidth="1"/>
    <col min="14868" max="14868" width="15.85546875" style="9" customWidth="1"/>
    <col min="14869" max="14869" width="15.42578125" style="9" customWidth="1"/>
    <col min="14870" max="14870" width="12.42578125" style="9" customWidth="1"/>
    <col min="14871" max="14871" width="11.140625" style="9" customWidth="1"/>
    <col min="14872" max="14872" width="15.42578125" style="9" customWidth="1"/>
    <col min="14873" max="14874" width="0" style="9" hidden="1" customWidth="1"/>
    <col min="14875" max="14875" width="15" style="9" customWidth="1"/>
    <col min="14876" max="14876" width="9.42578125" style="9" customWidth="1"/>
    <col min="14877" max="14877" width="10.5703125" style="9" customWidth="1"/>
    <col min="14878" max="14878" width="9.5703125" style="9" customWidth="1"/>
    <col min="14879" max="14879" width="11.42578125" style="9" customWidth="1"/>
    <col min="14880" max="14880" width="9.140625" style="9"/>
    <col min="14881" max="14881" width="12.5703125" style="9" bestFit="1" customWidth="1"/>
    <col min="14882" max="14882" width="20.140625" style="9" bestFit="1" customWidth="1"/>
    <col min="14883" max="15104" width="9.140625" style="9"/>
    <col min="15105" max="15105" width="5.42578125" style="9" customWidth="1"/>
    <col min="15106" max="15106" width="45.140625" style="9" customWidth="1"/>
    <col min="15107" max="15107" width="15.140625" style="9" customWidth="1"/>
    <col min="15108" max="15108" width="16.42578125" style="9" customWidth="1"/>
    <col min="15109" max="15109" width="17.140625" style="9" customWidth="1"/>
    <col min="15110" max="15112" width="0" style="9" hidden="1" customWidth="1"/>
    <col min="15113" max="15114" width="15.85546875" style="9" customWidth="1"/>
    <col min="15115" max="15115" width="11.140625" style="9" customWidth="1"/>
    <col min="15116" max="15116" width="11.85546875" style="9" customWidth="1"/>
    <col min="15117" max="15117" width="10.42578125" style="9" customWidth="1"/>
    <col min="15118" max="15118" width="16.42578125" style="9" customWidth="1"/>
    <col min="15119" max="15119" width="14.140625" style="9" customWidth="1"/>
    <col min="15120" max="15120" width="15.85546875" style="9" customWidth="1"/>
    <col min="15121" max="15122" width="0" style="9" hidden="1" customWidth="1"/>
    <col min="15123" max="15123" width="11.85546875" style="9" customWidth="1"/>
    <col min="15124" max="15124" width="15.85546875" style="9" customWidth="1"/>
    <col min="15125" max="15125" width="15.42578125" style="9" customWidth="1"/>
    <col min="15126" max="15126" width="12.42578125" style="9" customWidth="1"/>
    <col min="15127" max="15127" width="11.140625" style="9" customWidth="1"/>
    <col min="15128" max="15128" width="15.42578125" style="9" customWidth="1"/>
    <col min="15129" max="15130" width="0" style="9" hidden="1" customWidth="1"/>
    <col min="15131" max="15131" width="15" style="9" customWidth="1"/>
    <col min="15132" max="15132" width="9.42578125" style="9" customWidth="1"/>
    <col min="15133" max="15133" width="10.5703125" style="9" customWidth="1"/>
    <col min="15134" max="15134" width="9.5703125" style="9" customWidth="1"/>
    <col min="15135" max="15135" width="11.42578125" style="9" customWidth="1"/>
    <col min="15136" max="15136" width="9.140625" style="9"/>
    <col min="15137" max="15137" width="12.5703125" style="9" bestFit="1" customWidth="1"/>
    <col min="15138" max="15138" width="20.140625" style="9" bestFit="1" customWidth="1"/>
    <col min="15139" max="15360" width="9.140625" style="9"/>
    <col min="15361" max="15361" width="5.42578125" style="9" customWidth="1"/>
    <col min="15362" max="15362" width="45.140625" style="9" customWidth="1"/>
    <col min="15363" max="15363" width="15.140625" style="9" customWidth="1"/>
    <col min="15364" max="15364" width="16.42578125" style="9" customWidth="1"/>
    <col min="15365" max="15365" width="17.140625" style="9" customWidth="1"/>
    <col min="15366" max="15368" width="0" style="9" hidden="1" customWidth="1"/>
    <col min="15369" max="15370" width="15.85546875" style="9" customWidth="1"/>
    <col min="15371" max="15371" width="11.140625" style="9" customWidth="1"/>
    <col min="15372" max="15372" width="11.85546875" style="9" customWidth="1"/>
    <col min="15373" max="15373" width="10.42578125" style="9" customWidth="1"/>
    <col min="15374" max="15374" width="16.42578125" style="9" customWidth="1"/>
    <col min="15375" max="15375" width="14.140625" style="9" customWidth="1"/>
    <col min="15376" max="15376" width="15.85546875" style="9" customWidth="1"/>
    <col min="15377" max="15378" width="0" style="9" hidden="1" customWidth="1"/>
    <col min="15379" max="15379" width="11.85546875" style="9" customWidth="1"/>
    <col min="15380" max="15380" width="15.85546875" style="9" customWidth="1"/>
    <col min="15381" max="15381" width="15.42578125" style="9" customWidth="1"/>
    <col min="15382" max="15382" width="12.42578125" style="9" customWidth="1"/>
    <col min="15383" max="15383" width="11.140625" style="9" customWidth="1"/>
    <col min="15384" max="15384" width="15.42578125" style="9" customWidth="1"/>
    <col min="15385" max="15386" width="0" style="9" hidden="1" customWidth="1"/>
    <col min="15387" max="15387" width="15" style="9" customWidth="1"/>
    <col min="15388" max="15388" width="9.42578125" style="9" customWidth="1"/>
    <col min="15389" max="15389" width="10.5703125" style="9" customWidth="1"/>
    <col min="15390" max="15390" width="9.5703125" style="9" customWidth="1"/>
    <col min="15391" max="15391" width="11.42578125" style="9" customWidth="1"/>
    <col min="15392" max="15392" width="9.140625" style="9"/>
    <col min="15393" max="15393" width="12.5703125" style="9" bestFit="1" customWidth="1"/>
    <col min="15394" max="15394" width="20.140625" style="9" bestFit="1" customWidth="1"/>
    <col min="15395" max="15616" width="9.140625" style="9"/>
    <col min="15617" max="15617" width="5.42578125" style="9" customWidth="1"/>
    <col min="15618" max="15618" width="45.140625" style="9" customWidth="1"/>
    <col min="15619" max="15619" width="15.140625" style="9" customWidth="1"/>
    <col min="15620" max="15620" width="16.42578125" style="9" customWidth="1"/>
    <col min="15621" max="15621" width="17.140625" style="9" customWidth="1"/>
    <col min="15622" max="15624" width="0" style="9" hidden="1" customWidth="1"/>
    <col min="15625" max="15626" width="15.85546875" style="9" customWidth="1"/>
    <col min="15627" max="15627" width="11.140625" style="9" customWidth="1"/>
    <col min="15628" max="15628" width="11.85546875" style="9" customWidth="1"/>
    <col min="15629" max="15629" width="10.42578125" style="9" customWidth="1"/>
    <col min="15630" max="15630" width="16.42578125" style="9" customWidth="1"/>
    <col min="15631" max="15631" width="14.140625" style="9" customWidth="1"/>
    <col min="15632" max="15632" width="15.85546875" style="9" customWidth="1"/>
    <col min="15633" max="15634" width="0" style="9" hidden="1" customWidth="1"/>
    <col min="15635" max="15635" width="11.85546875" style="9" customWidth="1"/>
    <col min="15636" max="15636" width="15.85546875" style="9" customWidth="1"/>
    <col min="15637" max="15637" width="15.42578125" style="9" customWidth="1"/>
    <col min="15638" max="15638" width="12.42578125" style="9" customWidth="1"/>
    <col min="15639" max="15639" width="11.140625" style="9" customWidth="1"/>
    <col min="15640" max="15640" width="15.42578125" style="9" customWidth="1"/>
    <col min="15641" max="15642" width="0" style="9" hidden="1" customWidth="1"/>
    <col min="15643" max="15643" width="15" style="9" customWidth="1"/>
    <col min="15644" max="15644" width="9.42578125" style="9" customWidth="1"/>
    <col min="15645" max="15645" width="10.5703125" style="9" customWidth="1"/>
    <col min="15646" max="15646" width="9.5703125" style="9" customWidth="1"/>
    <col min="15647" max="15647" width="11.42578125" style="9" customWidth="1"/>
    <col min="15648" max="15648" width="9.140625" style="9"/>
    <col min="15649" max="15649" width="12.5703125" style="9" bestFit="1" customWidth="1"/>
    <col min="15650" max="15650" width="20.140625" style="9" bestFit="1" customWidth="1"/>
    <col min="15651" max="15872" width="9.140625" style="9"/>
    <col min="15873" max="15873" width="5.42578125" style="9" customWidth="1"/>
    <col min="15874" max="15874" width="45.140625" style="9" customWidth="1"/>
    <col min="15875" max="15875" width="15.140625" style="9" customWidth="1"/>
    <col min="15876" max="15876" width="16.42578125" style="9" customWidth="1"/>
    <col min="15877" max="15877" width="17.140625" style="9" customWidth="1"/>
    <col min="15878" max="15880" width="0" style="9" hidden="1" customWidth="1"/>
    <col min="15881" max="15882" width="15.85546875" style="9" customWidth="1"/>
    <col min="15883" max="15883" width="11.140625" style="9" customWidth="1"/>
    <col min="15884" max="15884" width="11.85546875" style="9" customWidth="1"/>
    <col min="15885" max="15885" width="10.42578125" style="9" customWidth="1"/>
    <col min="15886" max="15886" width="16.42578125" style="9" customWidth="1"/>
    <col min="15887" max="15887" width="14.140625" style="9" customWidth="1"/>
    <col min="15888" max="15888" width="15.85546875" style="9" customWidth="1"/>
    <col min="15889" max="15890" width="0" style="9" hidden="1" customWidth="1"/>
    <col min="15891" max="15891" width="11.85546875" style="9" customWidth="1"/>
    <col min="15892" max="15892" width="15.85546875" style="9" customWidth="1"/>
    <col min="15893" max="15893" width="15.42578125" style="9" customWidth="1"/>
    <col min="15894" max="15894" width="12.42578125" style="9" customWidth="1"/>
    <col min="15895" max="15895" width="11.140625" style="9" customWidth="1"/>
    <col min="15896" max="15896" width="15.42578125" style="9" customWidth="1"/>
    <col min="15897" max="15898" width="0" style="9" hidden="1" customWidth="1"/>
    <col min="15899" max="15899" width="15" style="9" customWidth="1"/>
    <col min="15900" max="15900" width="9.42578125" style="9" customWidth="1"/>
    <col min="15901" max="15901" width="10.5703125" style="9" customWidth="1"/>
    <col min="15902" max="15902" width="9.5703125" style="9" customWidth="1"/>
    <col min="15903" max="15903" width="11.42578125" style="9" customWidth="1"/>
    <col min="15904" max="15904" width="9.140625" style="9"/>
    <col min="15905" max="15905" width="12.5703125" style="9" bestFit="1" customWidth="1"/>
    <col min="15906" max="15906" width="20.140625" style="9" bestFit="1" customWidth="1"/>
    <col min="15907" max="16128" width="9.140625" style="9"/>
    <col min="16129" max="16129" width="5.42578125" style="9" customWidth="1"/>
    <col min="16130" max="16130" width="45.140625" style="9" customWidth="1"/>
    <col min="16131" max="16131" width="15.140625" style="9" customWidth="1"/>
    <col min="16132" max="16132" width="16.42578125" style="9" customWidth="1"/>
    <col min="16133" max="16133" width="17.140625" style="9" customWidth="1"/>
    <col min="16134" max="16136" width="0" style="9" hidden="1" customWidth="1"/>
    <col min="16137" max="16138" width="15.85546875" style="9" customWidth="1"/>
    <col min="16139" max="16139" width="11.140625" style="9" customWidth="1"/>
    <col min="16140" max="16140" width="11.85546875" style="9" customWidth="1"/>
    <col min="16141" max="16141" width="10.42578125" style="9" customWidth="1"/>
    <col min="16142" max="16142" width="16.42578125" style="9" customWidth="1"/>
    <col min="16143" max="16143" width="14.140625" style="9" customWidth="1"/>
    <col min="16144" max="16144" width="15.85546875" style="9" customWidth="1"/>
    <col min="16145" max="16146" width="0" style="9" hidden="1" customWidth="1"/>
    <col min="16147" max="16147" width="11.85546875" style="9" customWidth="1"/>
    <col min="16148" max="16148" width="15.85546875" style="9" customWidth="1"/>
    <col min="16149" max="16149" width="15.42578125" style="9" customWidth="1"/>
    <col min="16150" max="16150" width="12.42578125" style="9" customWidth="1"/>
    <col min="16151" max="16151" width="11.140625" style="9" customWidth="1"/>
    <col min="16152" max="16152" width="15.42578125" style="9" customWidth="1"/>
    <col min="16153" max="16154" width="0" style="9" hidden="1" customWidth="1"/>
    <col min="16155" max="16155" width="15" style="9" customWidth="1"/>
    <col min="16156" max="16156" width="9.42578125" style="9" customWidth="1"/>
    <col min="16157" max="16157" width="10.5703125" style="9" customWidth="1"/>
    <col min="16158" max="16158" width="9.5703125" style="9" customWidth="1"/>
    <col min="16159" max="16159" width="11.42578125" style="9" customWidth="1"/>
    <col min="16160" max="16160" width="9.140625" style="9"/>
    <col min="16161" max="16161" width="12.5703125" style="9" bestFit="1" customWidth="1"/>
    <col min="16162" max="16162" width="20.140625" style="9" bestFit="1" customWidth="1"/>
    <col min="16163" max="16384" width="9.140625" style="9"/>
  </cols>
  <sheetData>
    <row r="1" spans="1:35" ht="16.5" x14ac:dyDescent="0.25">
      <c r="A1" s="48"/>
      <c r="B1" s="5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331" t="s">
        <v>96</v>
      </c>
      <c r="AD1" s="331"/>
      <c r="AE1" s="331"/>
      <c r="AF1" s="9"/>
    </row>
    <row r="2" spans="1:35" x14ac:dyDescent="0.25">
      <c r="A2" s="29"/>
      <c r="C2" s="6"/>
      <c r="D2" s="27"/>
      <c r="G2" s="6"/>
      <c r="O2" s="27"/>
      <c r="AB2" s="6"/>
      <c r="AF2" s="9"/>
    </row>
    <row r="3" spans="1:35" ht="21.75" customHeight="1" x14ac:dyDescent="0.25">
      <c r="A3" s="318" t="s">
        <v>707</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49"/>
    </row>
    <row r="4" spans="1:35" ht="21.75" customHeight="1" x14ac:dyDescent="0.25">
      <c r="A4" s="333" t="s">
        <v>708</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49"/>
    </row>
    <row r="5" spans="1:35" ht="21.75" customHeight="1" x14ac:dyDescent="0.25">
      <c r="A5" s="113"/>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49"/>
    </row>
    <row r="6" spans="1:35" ht="21.75" customHeight="1" x14ac:dyDescent="0.25">
      <c r="A6" s="113"/>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49"/>
    </row>
    <row r="7" spans="1:35" x14ac:dyDescent="0.25">
      <c r="B7" s="28"/>
      <c r="C7" s="6"/>
      <c r="D7" s="6"/>
      <c r="E7" s="6"/>
      <c r="F7" s="6"/>
      <c r="G7" s="6"/>
      <c r="H7" s="6"/>
      <c r="I7" s="6"/>
      <c r="J7" s="6"/>
      <c r="K7" s="6"/>
      <c r="L7" s="6"/>
      <c r="M7" s="6"/>
      <c r="N7" s="6"/>
      <c r="O7" s="6"/>
      <c r="P7" s="6"/>
      <c r="Q7" s="6"/>
      <c r="R7" s="6"/>
      <c r="S7" s="6"/>
      <c r="T7" s="6"/>
      <c r="U7" s="6"/>
      <c r="W7" s="27"/>
      <c r="X7" s="6"/>
      <c r="Y7" s="6"/>
      <c r="Z7" s="6"/>
      <c r="AA7" s="6"/>
      <c r="AB7" s="334"/>
      <c r="AC7" s="334"/>
      <c r="AD7" s="335" t="s">
        <v>252</v>
      </c>
      <c r="AE7" s="335"/>
      <c r="AF7" s="9"/>
    </row>
    <row r="8" spans="1:35" s="56" customFormat="1" ht="25.9" customHeight="1" x14ac:dyDescent="0.2">
      <c r="A8" s="324" t="s">
        <v>2</v>
      </c>
      <c r="B8" s="324" t="s">
        <v>97</v>
      </c>
      <c r="C8" s="325" t="s">
        <v>35</v>
      </c>
      <c r="D8" s="326"/>
      <c r="E8" s="326"/>
      <c r="F8" s="326"/>
      <c r="G8" s="326"/>
      <c r="H8" s="326"/>
      <c r="I8" s="326"/>
      <c r="J8" s="326"/>
      <c r="K8" s="326"/>
      <c r="L8" s="326"/>
      <c r="M8" s="327"/>
      <c r="N8" s="325" t="s">
        <v>5</v>
      </c>
      <c r="O8" s="326"/>
      <c r="P8" s="326"/>
      <c r="Q8" s="326"/>
      <c r="R8" s="326"/>
      <c r="S8" s="326"/>
      <c r="T8" s="326"/>
      <c r="U8" s="326"/>
      <c r="V8" s="326"/>
      <c r="W8" s="326"/>
      <c r="X8" s="326"/>
      <c r="Y8" s="112"/>
      <c r="Z8" s="112"/>
      <c r="AA8" s="112"/>
      <c r="AB8" s="324" t="s">
        <v>6</v>
      </c>
      <c r="AC8" s="324"/>
      <c r="AD8" s="324"/>
      <c r="AE8" s="324"/>
    </row>
    <row r="9" spans="1:35" s="56" customFormat="1" ht="25.5" customHeight="1" x14ac:dyDescent="0.2">
      <c r="A9" s="324"/>
      <c r="B9" s="324"/>
      <c r="C9" s="324" t="s">
        <v>253</v>
      </c>
      <c r="D9" s="324" t="s">
        <v>99</v>
      </c>
      <c r="E9" s="324" t="s">
        <v>100</v>
      </c>
      <c r="F9" s="324" t="s">
        <v>227</v>
      </c>
      <c r="G9" s="325" t="s">
        <v>228</v>
      </c>
      <c r="H9" s="327"/>
      <c r="I9" s="324" t="s">
        <v>254</v>
      </c>
      <c r="J9" s="328" t="s">
        <v>656</v>
      </c>
      <c r="K9" s="324" t="s">
        <v>101</v>
      </c>
      <c r="L9" s="324"/>
      <c r="M9" s="324"/>
      <c r="N9" s="324" t="s">
        <v>98</v>
      </c>
      <c r="O9" s="324" t="s">
        <v>99</v>
      </c>
      <c r="P9" s="324" t="s">
        <v>100</v>
      </c>
      <c r="Q9" s="329" t="s">
        <v>124</v>
      </c>
      <c r="R9" s="330"/>
      <c r="S9" s="324" t="s">
        <v>254</v>
      </c>
      <c r="T9" s="324" t="s">
        <v>657</v>
      </c>
      <c r="U9" s="324" t="s">
        <v>101</v>
      </c>
      <c r="V9" s="324"/>
      <c r="W9" s="324"/>
      <c r="X9" s="324" t="s">
        <v>102</v>
      </c>
      <c r="Y9" s="325" t="s">
        <v>124</v>
      </c>
      <c r="Z9" s="327"/>
      <c r="AA9" s="324" t="s">
        <v>255</v>
      </c>
      <c r="AB9" s="324" t="s">
        <v>98</v>
      </c>
      <c r="AC9" s="332" t="s">
        <v>99</v>
      </c>
      <c r="AD9" s="332" t="s">
        <v>100</v>
      </c>
      <c r="AE9" s="332" t="s">
        <v>101</v>
      </c>
    </row>
    <row r="10" spans="1:35" s="56" customFormat="1" ht="116.25" customHeight="1" x14ac:dyDescent="0.2">
      <c r="A10" s="324"/>
      <c r="B10" s="324"/>
      <c r="C10" s="324"/>
      <c r="D10" s="324"/>
      <c r="E10" s="324"/>
      <c r="F10" s="324"/>
      <c r="G10" s="53" t="s">
        <v>128</v>
      </c>
      <c r="H10" s="53" t="s">
        <v>127</v>
      </c>
      <c r="I10" s="324"/>
      <c r="J10" s="328"/>
      <c r="K10" s="54" t="s">
        <v>98</v>
      </c>
      <c r="L10" s="54" t="s">
        <v>103</v>
      </c>
      <c r="M10" s="54" t="s">
        <v>104</v>
      </c>
      <c r="N10" s="324"/>
      <c r="O10" s="324"/>
      <c r="P10" s="324"/>
      <c r="Q10" s="55" t="s">
        <v>158</v>
      </c>
      <c r="R10" s="55" t="s">
        <v>159</v>
      </c>
      <c r="S10" s="324"/>
      <c r="T10" s="324"/>
      <c r="U10" s="54" t="s">
        <v>98</v>
      </c>
      <c r="V10" s="54" t="s">
        <v>103</v>
      </c>
      <c r="W10" s="54" t="s">
        <v>104</v>
      </c>
      <c r="X10" s="324"/>
      <c r="Y10" s="53" t="s">
        <v>161</v>
      </c>
      <c r="Z10" s="53" t="s">
        <v>160</v>
      </c>
      <c r="AA10" s="324"/>
      <c r="AB10" s="324"/>
      <c r="AC10" s="332"/>
      <c r="AD10" s="332"/>
      <c r="AE10" s="332"/>
    </row>
    <row r="11" spans="1:35" s="244" customFormat="1" ht="33.75" customHeight="1" x14ac:dyDescent="0.2">
      <c r="A11" s="57" t="s">
        <v>7</v>
      </c>
      <c r="B11" s="57" t="s">
        <v>8</v>
      </c>
      <c r="C11" s="57" t="s">
        <v>152</v>
      </c>
      <c r="D11" s="57">
        <v>2</v>
      </c>
      <c r="E11" s="57">
        <v>3</v>
      </c>
      <c r="F11" s="57"/>
      <c r="G11" s="57"/>
      <c r="H11" s="57"/>
      <c r="I11" s="57">
        <v>4</v>
      </c>
      <c r="J11" s="57">
        <v>5</v>
      </c>
      <c r="K11" s="57" t="s">
        <v>141</v>
      </c>
      <c r="L11" s="57">
        <v>7</v>
      </c>
      <c r="M11" s="57">
        <v>8</v>
      </c>
      <c r="N11" s="58" t="s">
        <v>516</v>
      </c>
      <c r="O11" s="57">
        <v>10</v>
      </c>
      <c r="P11" s="57">
        <v>11</v>
      </c>
      <c r="Q11" s="57"/>
      <c r="R11" s="57"/>
      <c r="S11" s="57">
        <v>12</v>
      </c>
      <c r="T11" s="57">
        <v>13</v>
      </c>
      <c r="U11" s="57" t="s">
        <v>153</v>
      </c>
      <c r="V11" s="57">
        <v>15</v>
      </c>
      <c r="W11" s="57">
        <v>16</v>
      </c>
      <c r="X11" s="57" t="s">
        <v>517</v>
      </c>
      <c r="Y11" s="57">
        <v>18</v>
      </c>
      <c r="Z11" s="57">
        <v>19</v>
      </c>
      <c r="AA11" s="57">
        <v>20</v>
      </c>
      <c r="AB11" s="57" t="s">
        <v>518</v>
      </c>
      <c r="AC11" s="57" t="s">
        <v>519</v>
      </c>
      <c r="AD11" s="57" t="s">
        <v>520</v>
      </c>
      <c r="AE11" s="57" t="s">
        <v>521</v>
      </c>
    </row>
    <row r="12" spans="1:35" s="36" customFormat="1" ht="26.25" customHeight="1" x14ac:dyDescent="0.25">
      <c r="A12" s="60"/>
      <c r="B12" s="60" t="s">
        <v>98</v>
      </c>
      <c r="C12" s="61">
        <f>D12+E12+I12+J12+K12</f>
        <v>6680414.2628682284</v>
      </c>
      <c r="D12" s="60">
        <f t="shared" ref="D12:M12" si="0">D13+D108+D109+D110+D114+D115+D104+D111+D112+D113+D116</f>
        <v>2194827.9999999995</v>
      </c>
      <c r="E12" s="60">
        <f t="shared" si="0"/>
        <v>1909178.26</v>
      </c>
      <c r="F12" s="60">
        <f t="shared" si="0"/>
        <v>1830275.26</v>
      </c>
      <c r="G12" s="60">
        <f t="shared" si="0"/>
        <v>0</v>
      </c>
      <c r="H12" s="60">
        <f t="shared" si="0"/>
        <v>78903</v>
      </c>
      <c r="I12" s="60">
        <f t="shared" si="0"/>
        <v>2200</v>
      </c>
      <c r="J12" s="60">
        <f t="shared" si="0"/>
        <v>1331106.0028682286</v>
      </c>
      <c r="K12" s="60">
        <f t="shared" si="0"/>
        <v>1243102</v>
      </c>
      <c r="L12" s="60">
        <f t="shared" si="0"/>
        <v>675155</v>
      </c>
      <c r="M12" s="60">
        <f t="shared" si="0"/>
        <v>567947</v>
      </c>
      <c r="N12" s="60">
        <f t="shared" ref="N12:AA12" si="1">N13+N108+N109+N110+N114+N115+N104+N111+N113+N112+N116</f>
        <v>10282701.519897997</v>
      </c>
      <c r="O12" s="60">
        <f t="shared" si="1"/>
        <v>1456526.7354239998</v>
      </c>
      <c r="P12" s="60">
        <f t="shared" si="1"/>
        <v>1859518.8960580006</v>
      </c>
      <c r="Q12" s="60">
        <f t="shared" si="1"/>
        <v>1442749.1497930007</v>
      </c>
      <c r="R12" s="60">
        <f t="shared" si="1"/>
        <v>416769.74626500002</v>
      </c>
      <c r="S12" s="60">
        <f t="shared" si="1"/>
        <v>10232.433849999999</v>
      </c>
      <c r="T12" s="60">
        <f t="shared" si="1"/>
        <v>3815518.1447020001</v>
      </c>
      <c r="U12" s="60">
        <f t="shared" si="1"/>
        <v>158511.49889300007</v>
      </c>
      <c r="V12" s="60">
        <f t="shared" si="1"/>
        <v>37864.329270000002</v>
      </c>
      <c r="W12" s="60">
        <f t="shared" si="1"/>
        <v>120647.16962300001</v>
      </c>
      <c r="X12" s="60">
        <f t="shared" si="1"/>
        <v>2859544.5055379998</v>
      </c>
      <c r="Y12" s="60">
        <f t="shared" si="1"/>
        <v>0</v>
      </c>
      <c r="Z12" s="60">
        <f t="shared" si="1"/>
        <v>0</v>
      </c>
      <c r="AA12" s="60">
        <f t="shared" si="1"/>
        <v>122849.305433</v>
      </c>
      <c r="AB12" s="61">
        <f t="shared" ref="AB12:AC27" si="2">N12/C12%</f>
        <v>153.92311188023737</v>
      </c>
      <c r="AC12" s="61">
        <f>O12/D12%</f>
        <v>66.361771192275668</v>
      </c>
      <c r="AD12" s="61">
        <f t="shared" ref="AD12:AD70" si="3">P12/E12%</f>
        <v>97.398914235384225</v>
      </c>
      <c r="AE12" s="61">
        <f>U12/K12%</f>
        <v>12.751286611476779</v>
      </c>
    </row>
    <row r="13" spans="1:35" s="36" customFormat="1" ht="24.75" customHeight="1" x14ac:dyDescent="0.25">
      <c r="A13" s="61" t="s">
        <v>39</v>
      </c>
      <c r="B13" s="63" t="s">
        <v>256</v>
      </c>
      <c r="C13" s="61">
        <f>D13+E13+I13+J13+K13</f>
        <v>5281857.3999999994</v>
      </c>
      <c r="D13" s="61">
        <f t="shared" ref="D13:AA13" si="4">D14+D92</f>
        <v>2194827.9999999995</v>
      </c>
      <c r="E13" s="61">
        <f t="shared" si="4"/>
        <v>1843927.4</v>
      </c>
      <c r="F13" s="61">
        <f t="shared" si="4"/>
        <v>1765024.4</v>
      </c>
      <c r="G13" s="61">
        <f t="shared" si="4"/>
        <v>0</v>
      </c>
      <c r="H13" s="61">
        <f t="shared" si="4"/>
        <v>78903</v>
      </c>
      <c r="I13" s="61">
        <f t="shared" si="4"/>
        <v>0</v>
      </c>
      <c r="J13" s="61">
        <f t="shared" si="4"/>
        <v>0</v>
      </c>
      <c r="K13" s="61">
        <f t="shared" si="4"/>
        <v>1243102</v>
      </c>
      <c r="L13" s="61">
        <f t="shared" si="4"/>
        <v>675155</v>
      </c>
      <c r="M13" s="61">
        <f t="shared" si="4"/>
        <v>567947</v>
      </c>
      <c r="N13" s="61">
        <f t="shared" si="4"/>
        <v>3328841.8610879993</v>
      </c>
      <c r="O13" s="61">
        <f t="shared" si="4"/>
        <v>1334915.4661369999</v>
      </c>
      <c r="P13" s="61">
        <f t="shared" si="4"/>
        <v>1835414.8960580006</v>
      </c>
      <c r="Q13" s="61">
        <f t="shared" si="4"/>
        <v>1442749.1497930007</v>
      </c>
      <c r="R13" s="61">
        <f t="shared" si="4"/>
        <v>392665.74626500002</v>
      </c>
      <c r="S13" s="61">
        <f t="shared" si="4"/>
        <v>0</v>
      </c>
      <c r="T13" s="61">
        <f t="shared" si="4"/>
        <v>0</v>
      </c>
      <c r="U13" s="61">
        <f t="shared" si="4"/>
        <v>158511.49889300007</v>
      </c>
      <c r="V13" s="61">
        <f t="shared" si="4"/>
        <v>37864.329270000002</v>
      </c>
      <c r="W13" s="61">
        <f t="shared" si="4"/>
        <v>120647.16962300001</v>
      </c>
      <c r="X13" s="61">
        <f t="shared" si="4"/>
        <v>0</v>
      </c>
      <c r="Y13" s="61">
        <f t="shared" si="4"/>
        <v>0</v>
      </c>
      <c r="Z13" s="61">
        <f t="shared" si="4"/>
        <v>0</v>
      </c>
      <c r="AA13" s="61">
        <f t="shared" si="4"/>
        <v>0</v>
      </c>
      <c r="AB13" s="61">
        <f t="shared" si="2"/>
        <v>63.024076740277003</v>
      </c>
      <c r="AC13" s="61">
        <f t="shared" si="2"/>
        <v>60.82096028194465</v>
      </c>
      <c r="AD13" s="61">
        <f t="shared" si="3"/>
        <v>99.538349289565346</v>
      </c>
      <c r="AE13" s="61">
        <f t="shared" ref="AE13:AE73" si="5">U13/K13%</f>
        <v>12.751286611476779</v>
      </c>
      <c r="AG13" s="44"/>
    </row>
    <row r="14" spans="1:35" s="36" customFormat="1" ht="33.75" customHeight="1" x14ac:dyDescent="0.25">
      <c r="A14" s="61" t="s">
        <v>257</v>
      </c>
      <c r="B14" s="63" t="s">
        <v>258</v>
      </c>
      <c r="C14" s="61">
        <f>D14+E14+I14+J14+K14</f>
        <v>4101362.9609999997</v>
      </c>
      <c r="D14" s="61">
        <f>SUM(D15:D91)</f>
        <v>1983137.5609999998</v>
      </c>
      <c r="E14" s="61">
        <f t="shared" ref="E14:J14" si="6">SUM(E15:E91)</f>
        <v>1843927.4</v>
      </c>
      <c r="F14" s="61">
        <f t="shared" si="6"/>
        <v>1765024.4</v>
      </c>
      <c r="G14" s="61">
        <f t="shared" si="6"/>
        <v>0</v>
      </c>
      <c r="H14" s="61">
        <f t="shared" si="6"/>
        <v>78903</v>
      </c>
      <c r="I14" s="61">
        <f t="shared" si="6"/>
        <v>0</v>
      </c>
      <c r="J14" s="61">
        <f t="shared" si="6"/>
        <v>0</v>
      </c>
      <c r="K14" s="61">
        <f>SUM(K15:K91)</f>
        <v>274298</v>
      </c>
      <c r="L14" s="61">
        <f t="shared" ref="L14:AA14" si="7">SUM(L15:L91)</f>
        <v>79483</v>
      </c>
      <c r="M14" s="61">
        <f t="shared" si="7"/>
        <v>194815</v>
      </c>
      <c r="N14" s="61">
        <f t="shared" si="7"/>
        <v>3097157.3568069991</v>
      </c>
      <c r="O14" s="61">
        <f t="shared" si="7"/>
        <v>1104416.351856</v>
      </c>
      <c r="P14" s="61">
        <f t="shared" si="7"/>
        <v>1835414.8960580006</v>
      </c>
      <c r="Q14" s="61">
        <f t="shared" si="7"/>
        <v>1442749.1497930007</v>
      </c>
      <c r="R14" s="61">
        <f t="shared" si="7"/>
        <v>392665.74626500002</v>
      </c>
      <c r="S14" s="61">
        <f t="shared" si="7"/>
        <v>0</v>
      </c>
      <c r="T14" s="61">
        <f t="shared" si="7"/>
        <v>0</v>
      </c>
      <c r="U14" s="61">
        <f t="shared" si="7"/>
        <v>157326.10889300006</v>
      </c>
      <c r="V14" s="61">
        <f t="shared" si="7"/>
        <v>36678.939270000003</v>
      </c>
      <c r="W14" s="61">
        <f t="shared" si="7"/>
        <v>120647.16962300001</v>
      </c>
      <c r="X14" s="61">
        <f t="shared" si="7"/>
        <v>0</v>
      </c>
      <c r="Y14" s="61">
        <f t="shared" si="7"/>
        <v>0</v>
      </c>
      <c r="Z14" s="61">
        <f t="shared" si="7"/>
        <v>0</v>
      </c>
      <c r="AA14" s="61">
        <f t="shared" si="7"/>
        <v>0</v>
      </c>
      <c r="AB14" s="61">
        <f t="shared" si="2"/>
        <v>75.515319815826444</v>
      </c>
      <c r="AC14" s="61">
        <f t="shared" si="2"/>
        <v>55.69035520153713</v>
      </c>
      <c r="AD14" s="61">
        <f t="shared" si="3"/>
        <v>99.538349289565346</v>
      </c>
      <c r="AE14" s="61">
        <f t="shared" si="5"/>
        <v>57.355908133854442</v>
      </c>
      <c r="AG14" s="44"/>
      <c r="AH14" s="64"/>
      <c r="AI14" s="44"/>
    </row>
    <row r="15" spans="1:35" s="36" customFormat="1" ht="24" customHeight="1" x14ac:dyDescent="0.25">
      <c r="A15" s="65" t="s">
        <v>259</v>
      </c>
      <c r="B15" s="66" t="s">
        <v>658</v>
      </c>
      <c r="C15" s="67">
        <f>D15+E15+I15+J15+K15</f>
        <v>253078</v>
      </c>
      <c r="D15" s="67">
        <v>74000</v>
      </c>
      <c r="E15" s="67">
        <f>F15+G15+H15</f>
        <v>148451</v>
      </c>
      <c r="F15" s="67">
        <v>137885</v>
      </c>
      <c r="G15" s="67"/>
      <c r="H15" s="67">
        <v>10566</v>
      </c>
      <c r="I15" s="67"/>
      <c r="J15" s="67"/>
      <c r="K15" s="67">
        <f t="shared" ref="K15:K75" si="8">L15+M15</f>
        <v>30627</v>
      </c>
      <c r="L15" s="67">
        <v>10512</v>
      </c>
      <c r="M15" s="67">
        <f>17915+2200</f>
        <v>20115</v>
      </c>
      <c r="N15" s="67">
        <f>O15+P15+S15+T15+U15</f>
        <v>216728.63992800002</v>
      </c>
      <c r="O15" s="67">
        <v>62758.168000000005</v>
      </c>
      <c r="P15" s="68">
        <f>Q15+R15</f>
        <v>140723.89615099999</v>
      </c>
      <c r="Q15" s="67">
        <v>140723.89615099999</v>
      </c>
      <c r="R15" s="68"/>
      <c r="S15" s="67"/>
      <c r="T15" s="67"/>
      <c r="U15" s="67">
        <f t="shared" ref="U15:U35" si="9">V15+W15</f>
        <v>13246.575777000027</v>
      </c>
      <c r="V15" s="67"/>
      <c r="W15" s="67">
        <v>13246.575777000027</v>
      </c>
      <c r="X15" s="67"/>
      <c r="Y15" s="67"/>
      <c r="Z15" s="67"/>
      <c r="AA15" s="67"/>
      <c r="AB15" s="67">
        <f t="shared" si="2"/>
        <v>85.637092093346709</v>
      </c>
      <c r="AC15" s="67">
        <f>O15/D15%</f>
        <v>84.808335135135138</v>
      </c>
      <c r="AD15" s="67">
        <f t="shared" si="3"/>
        <v>94.794845538932037</v>
      </c>
      <c r="AE15" s="67">
        <f t="shared" si="5"/>
        <v>43.251300411401793</v>
      </c>
      <c r="AG15" s="44"/>
      <c r="AH15" s="64"/>
      <c r="AI15" s="44"/>
    </row>
    <row r="16" spans="1:35" s="16" customFormat="1" ht="39.75" customHeight="1" x14ac:dyDescent="0.25">
      <c r="A16" s="70" t="s">
        <v>261</v>
      </c>
      <c r="B16" s="71" t="s">
        <v>555</v>
      </c>
      <c r="C16" s="67">
        <f t="shared" ref="C16:C76" si="10">D16+E16+I16+J16+K16</f>
        <v>29878</v>
      </c>
      <c r="D16" s="67"/>
      <c r="E16" s="67">
        <f t="shared" ref="E16:E74" si="11">F16+G16+H16</f>
        <v>29878</v>
      </c>
      <c r="F16" s="67">
        <v>29878</v>
      </c>
      <c r="G16" s="67"/>
      <c r="H16" s="67"/>
      <c r="I16" s="67"/>
      <c r="J16" s="67"/>
      <c r="K16" s="67">
        <f t="shared" si="8"/>
        <v>0</v>
      </c>
      <c r="L16" s="67"/>
      <c r="M16" s="67"/>
      <c r="N16" s="67">
        <f>O16+P16+S16+T16+U16</f>
        <v>32824.673999999999</v>
      </c>
      <c r="O16" s="67"/>
      <c r="P16" s="68">
        <f t="shared" ref="P16:P76" si="12">Q16+R16</f>
        <v>32824.673999999999</v>
      </c>
      <c r="Q16" s="67">
        <v>32824.673999999999</v>
      </c>
      <c r="R16" s="67"/>
      <c r="S16" s="67"/>
      <c r="T16" s="67"/>
      <c r="U16" s="67">
        <f t="shared" si="9"/>
        <v>0</v>
      </c>
      <c r="V16" s="67"/>
      <c r="W16" s="67"/>
      <c r="X16" s="67"/>
      <c r="Y16" s="67"/>
      <c r="Z16" s="67"/>
      <c r="AA16" s="67"/>
      <c r="AB16" s="67">
        <f t="shared" si="2"/>
        <v>109.86235357118952</v>
      </c>
      <c r="AC16" s="67"/>
      <c r="AD16" s="67">
        <f t="shared" si="3"/>
        <v>109.86235357118952</v>
      </c>
      <c r="AE16" s="67"/>
    </row>
    <row r="17" spans="1:33" s="16" customFormat="1" ht="24.75" customHeight="1" x14ac:dyDescent="0.25">
      <c r="A17" s="65" t="s">
        <v>263</v>
      </c>
      <c r="B17" s="72" t="s">
        <v>556</v>
      </c>
      <c r="C17" s="67">
        <f t="shared" si="10"/>
        <v>233325</v>
      </c>
      <c r="D17" s="67">
        <v>149000</v>
      </c>
      <c r="E17" s="67">
        <f t="shared" si="11"/>
        <v>84296</v>
      </c>
      <c r="F17" s="67">
        <v>35009</v>
      </c>
      <c r="G17" s="67"/>
      <c r="H17" s="67">
        <f>440+48847</f>
        <v>49287</v>
      </c>
      <c r="I17" s="67"/>
      <c r="J17" s="67"/>
      <c r="K17" s="67">
        <f t="shared" si="8"/>
        <v>29</v>
      </c>
      <c r="L17" s="67">
        <v>0</v>
      </c>
      <c r="M17" s="67">
        <v>29</v>
      </c>
      <c r="N17" s="67">
        <f t="shared" ref="N17:N77" si="13">O17+P17+S17+T17+U17</f>
        <v>183986.71097599997</v>
      </c>
      <c r="O17" s="67">
        <v>96465.187529999996</v>
      </c>
      <c r="P17" s="68">
        <f t="shared" si="12"/>
        <v>87500.672285999986</v>
      </c>
      <c r="Q17" s="67">
        <f>6073.485+3987.1+77440.087286</f>
        <v>87500.672285999986</v>
      </c>
      <c r="R17" s="68"/>
      <c r="S17" s="67"/>
      <c r="T17" s="67"/>
      <c r="U17" s="67">
        <f t="shared" si="9"/>
        <v>20.85116</v>
      </c>
      <c r="V17" s="67"/>
      <c r="W17" s="67">
        <v>20.85116</v>
      </c>
      <c r="X17" s="67"/>
      <c r="Y17" s="67"/>
      <c r="Z17" s="67"/>
      <c r="AA17" s="67"/>
      <c r="AB17" s="67">
        <f t="shared" si="2"/>
        <v>78.854263784849451</v>
      </c>
      <c r="AC17" s="67"/>
      <c r="AD17" s="67">
        <f t="shared" si="3"/>
        <v>103.80168962465595</v>
      </c>
      <c r="AE17" s="67">
        <f t="shared" si="5"/>
        <v>71.900551724137941</v>
      </c>
      <c r="AG17" s="45"/>
    </row>
    <row r="18" spans="1:33" s="16" customFormat="1" ht="24.75" customHeight="1" x14ac:dyDescent="0.25">
      <c r="A18" s="70" t="s">
        <v>265</v>
      </c>
      <c r="B18" s="72" t="s">
        <v>557</v>
      </c>
      <c r="C18" s="67">
        <f t="shared" si="10"/>
        <v>1211</v>
      </c>
      <c r="D18" s="73"/>
      <c r="E18" s="67">
        <f t="shared" si="11"/>
        <v>1211</v>
      </c>
      <c r="F18" s="67">
        <v>331</v>
      </c>
      <c r="G18" s="67"/>
      <c r="H18" s="67">
        <v>880</v>
      </c>
      <c r="I18" s="67"/>
      <c r="J18" s="67"/>
      <c r="K18" s="67">
        <f t="shared" si="8"/>
        <v>0</v>
      </c>
      <c r="L18" s="67"/>
      <c r="M18" s="67"/>
      <c r="N18" s="67">
        <f t="shared" si="13"/>
        <v>1172.821776</v>
      </c>
      <c r="O18" s="67"/>
      <c r="P18" s="68">
        <f t="shared" si="12"/>
        <v>1172.821776</v>
      </c>
      <c r="Q18" s="67">
        <v>1172.821776</v>
      </c>
      <c r="R18" s="67"/>
      <c r="S18" s="67"/>
      <c r="T18" s="67"/>
      <c r="U18" s="67">
        <f t="shared" si="9"/>
        <v>0</v>
      </c>
      <c r="V18" s="67"/>
      <c r="W18" s="67"/>
      <c r="X18" s="67"/>
      <c r="Y18" s="67"/>
      <c r="Z18" s="67"/>
      <c r="AA18" s="67"/>
      <c r="AB18" s="67">
        <f t="shared" si="2"/>
        <v>96.847380346820813</v>
      </c>
      <c r="AC18" s="67"/>
      <c r="AD18" s="67">
        <f t="shared" si="3"/>
        <v>96.847380346820813</v>
      </c>
      <c r="AE18" s="67"/>
    </row>
    <row r="19" spans="1:33" s="16" customFormat="1" ht="24.75" customHeight="1" x14ac:dyDescent="0.25">
      <c r="A19" s="65" t="s">
        <v>267</v>
      </c>
      <c r="B19" s="66" t="s">
        <v>558</v>
      </c>
      <c r="C19" s="67">
        <f t="shared" si="10"/>
        <v>11596</v>
      </c>
      <c r="D19" s="67"/>
      <c r="E19" s="67">
        <f t="shared" si="11"/>
        <v>11596</v>
      </c>
      <c r="F19" s="67">
        <v>11596</v>
      </c>
      <c r="G19" s="67"/>
      <c r="H19" s="67"/>
      <c r="I19" s="67"/>
      <c r="J19" s="67"/>
      <c r="K19" s="67">
        <f t="shared" si="8"/>
        <v>0</v>
      </c>
      <c r="L19" s="67"/>
      <c r="M19" s="67"/>
      <c r="N19" s="67">
        <f t="shared" si="13"/>
        <v>7253.9777899999999</v>
      </c>
      <c r="O19" s="67"/>
      <c r="P19" s="68">
        <f t="shared" si="12"/>
        <v>7253.9777899999999</v>
      </c>
      <c r="Q19" s="68">
        <v>7253.9777899999999</v>
      </c>
      <c r="R19" s="67"/>
      <c r="S19" s="67"/>
      <c r="T19" s="67"/>
      <c r="U19" s="67">
        <f t="shared" si="9"/>
        <v>0</v>
      </c>
      <c r="V19" s="67"/>
      <c r="W19" s="67"/>
      <c r="X19" s="67"/>
      <c r="Y19" s="67"/>
      <c r="Z19" s="67"/>
      <c r="AA19" s="67"/>
      <c r="AB19" s="67">
        <f t="shared" si="2"/>
        <v>62.555862280096591</v>
      </c>
      <c r="AC19" s="67"/>
      <c r="AD19" s="67">
        <f t="shared" si="3"/>
        <v>62.555862280096591</v>
      </c>
      <c r="AE19" s="67"/>
    </row>
    <row r="20" spans="1:33" s="16" customFormat="1" ht="24.75" customHeight="1" x14ac:dyDescent="0.25">
      <c r="A20" s="70" t="s">
        <v>269</v>
      </c>
      <c r="B20" s="72" t="s">
        <v>559</v>
      </c>
      <c r="C20" s="67">
        <f t="shared" si="10"/>
        <v>28150</v>
      </c>
      <c r="D20" s="67"/>
      <c r="E20" s="67">
        <f t="shared" si="11"/>
        <v>28150</v>
      </c>
      <c r="F20" s="67">
        <v>28150</v>
      </c>
      <c r="G20" s="67"/>
      <c r="H20" s="67"/>
      <c r="I20" s="67"/>
      <c r="J20" s="67"/>
      <c r="K20" s="67">
        <f t="shared" si="8"/>
        <v>0</v>
      </c>
      <c r="L20" s="67"/>
      <c r="M20" s="67"/>
      <c r="N20" s="67">
        <f t="shared" si="13"/>
        <v>30282.151790999997</v>
      </c>
      <c r="O20" s="67"/>
      <c r="P20" s="68">
        <f t="shared" si="12"/>
        <v>30282.151790999997</v>
      </c>
      <c r="Q20" s="74">
        <f>956.436765+27727.634819+2500.30855+1194.983657+1900-3997.212</f>
        <v>30282.151790999997</v>
      </c>
      <c r="R20" s="67"/>
      <c r="S20" s="67"/>
      <c r="T20" s="67"/>
      <c r="U20" s="67">
        <f t="shared" si="9"/>
        <v>0</v>
      </c>
      <c r="V20" s="67"/>
      <c r="W20" s="67"/>
      <c r="X20" s="67"/>
      <c r="Y20" s="67"/>
      <c r="Z20" s="67"/>
      <c r="AA20" s="67"/>
      <c r="AB20" s="67">
        <f t="shared" si="2"/>
        <v>107.5742514777975</v>
      </c>
      <c r="AC20" s="67"/>
      <c r="AD20" s="67">
        <f t="shared" si="3"/>
        <v>107.5742514777975</v>
      </c>
      <c r="AE20" s="67"/>
    </row>
    <row r="21" spans="1:33" s="16" customFormat="1" ht="24.75" customHeight="1" x14ac:dyDescent="0.25">
      <c r="A21" s="65" t="s">
        <v>271</v>
      </c>
      <c r="B21" s="72" t="s">
        <v>560</v>
      </c>
      <c r="C21" s="67">
        <f t="shared" si="10"/>
        <v>9710</v>
      </c>
      <c r="D21" s="67"/>
      <c r="E21" s="67">
        <f t="shared" si="11"/>
        <v>9302</v>
      </c>
      <c r="F21" s="67">
        <v>9302</v>
      </c>
      <c r="G21" s="67"/>
      <c r="H21" s="67"/>
      <c r="I21" s="67"/>
      <c r="J21" s="67"/>
      <c r="K21" s="67">
        <f t="shared" si="8"/>
        <v>408</v>
      </c>
      <c r="L21" s="67">
        <v>0</v>
      </c>
      <c r="M21" s="67">
        <v>408</v>
      </c>
      <c r="N21" s="67">
        <f t="shared" si="13"/>
        <v>9657.5175999999992</v>
      </c>
      <c r="O21" s="67"/>
      <c r="P21" s="68">
        <f t="shared" si="12"/>
        <v>9199.2405999999992</v>
      </c>
      <c r="Q21" s="67">
        <f>6039+948.73+847+1364.5106</f>
        <v>9199.2405999999992</v>
      </c>
      <c r="R21" s="67"/>
      <c r="S21" s="67"/>
      <c r="T21" s="67"/>
      <c r="U21" s="67">
        <f t="shared" si="9"/>
        <v>458.27699999999999</v>
      </c>
      <c r="V21" s="67"/>
      <c r="W21" s="67">
        <f>24.55+433.727</f>
        <v>458.27699999999999</v>
      </c>
      <c r="X21" s="67"/>
      <c r="Y21" s="67"/>
      <c r="Z21" s="67"/>
      <c r="AA21" s="67"/>
      <c r="AB21" s="67">
        <f t="shared" si="2"/>
        <v>99.459501544799167</v>
      </c>
      <c r="AC21" s="67"/>
      <c r="AD21" s="67">
        <f t="shared" si="3"/>
        <v>98.895297785422486</v>
      </c>
      <c r="AE21" s="67">
        <f t="shared" si="5"/>
        <v>112.32279411764705</v>
      </c>
    </row>
    <row r="22" spans="1:33" s="16" customFormat="1" ht="24.75" customHeight="1" x14ac:dyDescent="0.25">
      <c r="A22" s="70" t="s">
        <v>273</v>
      </c>
      <c r="B22" s="72" t="s">
        <v>561</v>
      </c>
      <c r="C22" s="67">
        <f t="shared" si="10"/>
        <v>482743.69500000001</v>
      </c>
      <c r="D22" s="67">
        <v>33772.294999999998</v>
      </c>
      <c r="E22" s="67">
        <f t="shared" si="11"/>
        <v>382779.4</v>
      </c>
      <c r="F22" s="67">
        <v>382744.4</v>
      </c>
      <c r="G22" s="67"/>
      <c r="H22" s="67">
        <v>35</v>
      </c>
      <c r="I22" s="67"/>
      <c r="J22" s="67"/>
      <c r="K22" s="67">
        <f t="shared" si="8"/>
        <v>66192</v>
      </c>
      <c r="L22" s="67">
        <v>27433</v>
      </c>
      <c r="M22" s="67">
        <v>38759</v>
      </c>
      <c r="N22" s="67">
        <f t="shared" si="13"/>
        <v>491571.81826799997</v>
      </c>
      <c r="O22" s="67">
        <v>59823.026975000001</v>
      </c>
      <c r="P22" s="68">
        <f t="shared" si="12"/>
        <v>369295.94829299999</v>
      </c>
      <c r="Q22" s="67">
        <f>11737.9445+14329.24+6679.74123+13984.277882+12664+12898.065+4962.654864+9069.336+14975.122605+7106.785+12378.3625+19306.748972+11839+7931+26989.351741+14208.388185+18970.224+16594.418+15284.520201+14721.081+9873.493318+8158.908+4916.056195+12273.232678+13570.010922+11629.5915+10286.01+4692.63+5267.15+8360.498+13638.106</f>
        <v>369295.94829299999</v>
      </c>
      <c r="R22" s="67"/>
      <c r="S22" s="67"/>
      <c r="T22" s="67"/>
      <c r="U22" s="67">
        <f t="shared" si="9"/>
        <v>62452.842999999993</v>
      </c>
      <c r="V22" s="67">
        <v>10668.424999999999</v>
      </c>
      <c r="W22" s="67">
        <v>51784.417999999998</v>
      </c>
      <c r="X22" s="67"/>
      <c r="Y22" s="67"/>
      <c r="Z22" s="67"/>
      <c r="AA22" s="67"/>
      <c r="AB22" s="67">
        <f t="shared" si="2"/>
        <v>101.82873921698759</v>
      </c>
      <c r="AC22" s="67">
        <f t="shared" si="2"/>
        <v>177.13639826668577</v>
      </c>
      <c r="AD22" s="67">
        <f t="shared" si="3"/>
        <v>96.477487632040791</v>
      </c>
      <c r="AE22" s="67">
        <f t="shared" si="5"/>
        <v>94.351043932801545</v>
      </c>
    </row>
    <row r="23" spans="1:33" s="16" customFormat="1" ht="24.75" customHeight="1" x14ac:dyDescent="0.25">
      <c r="A23" s="65" t="s">
        <v>274</v>
      </c>
      <c r="B23" s="72" t="s">
        <v>562</v>
      </c>
      <c r="C23" s="67">
        <f t="shared" si="10"/>
        <v>494462</v>
      </c>
      <c r="D23" s="67">
        <v>211131</v>
      </c>
      <c r="E23" s="67">
        <f t="shared" si="11"/>
        <v>263471</v>
      </c>
      <c r="F23" s="67">
        <v>263471</v>
      </c>
      <c r="G23" s="67"/>
      <c r="H23" s="67"/>
      <c r="I23" s="67"/>
      <c r="J23" s="67"/>
      <c r="K23" s="67">
        <f t="shared" si="8"/>
        <v>19860</v>
      </c>
      <c r="L23" s="67">
        <v>10839</v>
      </c>
      <c r="M23" s="67">
        <v>9021</v>
      </c>
      <c r="N23" s="67">
        <f t="shared" si="13"/>
        <v>265242.24801000004</v>
      </c>
      <c r="O23" s="67">
        <v>77036.814710000006</v>
      </c>
      <c r="P23" s="68">
        <f t="shared" si="12"/>
        <v>178619.88904800001</v>
      </c>
      <c r="Q23" s="67">
        <f>101.419957+1252.709432+1062.4+28.709596+15922.43523+5880.988044+2021.908596+3974.388103+16090.783+25827.201946+19108.868355+14207.082936+21388.491182+1894.051208+536.906112+14918.0246+2261.590807+12437.63829+1.968276+8678.683027+2433.6+590.907588+3772.1</f>
        <v>174392.85628500002</v>
      </c>
      <c r="R23" s="67">
        <v>4227.0327630000002</v>
      </c>
      <c r="S23" s="67"/>
      <c r="T23" s="67"/>
      <c r="U23" s="67">
        <f t="shared" si="9"/>
        <v>9585.5442519999997</v>
      </c>
      <c r="V23" s="67">
        <v>160.89664099999999</v>
      </c>
      <c r="W23" s="67">
        <v>9424.6476110000003</v>
      </c>
      <c r="X23" s="67"/>
      <c r="Y23" s="67"/>
      <c r="Z23" s="67"/>
      <c r="AA23" s="67"/>
      <c r="AB23" s="67">
        <f t="shared" si="2"/>
        <v>53.642594984043271</v>
      </c>
      <c r="AC23" s="67">
        <f t="shared" si="2"/>
        <v>36.487685233338546</v>
      </c>
      <c r="AD23" s="67">
        <f t="shared" si="3"/>
        <v>67.794895471607887</v>
      </c>
      <c r="AE23" s="67">
        <f t="shared" si="5"/>
        <v>48.265580322255794</v>
      </c>
    </row>
    <row r="24" spans="1:33" s="16" customFormat="1" ht="24.75" customHeight="1" x14ac:dyDescent="0.25">
      <c r="A24" s="70" t="s">
        <v>276</v>
      </c>
      <c r="B24" s="72" t="s">
        <v>659</v>
      </c>
      <c r="C24" s="67">
        <f t="shared" si="10"/>
        <v>98535.766000000003</v>
      </c>
      <c r="D24" s="67">
        <v>36851.766000000003</v>
      </c>
      <c r="E24" s="67">
        <f t="shared" si="11"/>
        <v>50371</v>
      </c>
      <c r="F24" s="67">
        <v>50336</v>
      </c>
      <c r="G24" s="67"/>
      <c r="H24" s="67">
        <v>35</v>
      </c>
      <c r="I24" s="67"/>
      <c r="J24" s="67"/>
      <c r="K24" s="67">
        <f t="shared" si="8"/>
        <v>11313</v>
      </c>
      <c r="L24" s="67">
        <v>6252</v>
      </c>
      <c r="M24" s="67">
        <v>5061</v>
      </c>
      <c r="N24" s="67">
        <f t="shared" si="13"/>
        <v>172927.725007</v>
      </c>
      <c r="O24" s="67">
        <v>29371.598024999999</v>
      </c>
      <c r="P24" s="68">
        <f t="shared" si="12"/>
        <v>139157.77105799998</v>
      </c>
      <c r="Q24" s="67">
        <f>7507.673008+7300+13940.235768+13667.1965+14367.01659+23777.698983+15774.351095+26112.527839+13753.726705+2957.34457</f>
        <v>139157.77105799998</v>
      </c>
      <c r="R24" s="67"/>
      <c r="S24" s="67"/>
      <c r="T24" s="67"/>
      <c r="U24" s="67">
        <f t="shared" si="9"/>
        <v>4398.3559240000004</v>
      </c>
      <c r="V24" s="67">
        <v>406.32499999999999</v>
      </c>
      <c r="W24" s="67">
        <v>3992.0309240000001</v>
      </c>
      <c r="X24" s="67"/>
      <c r="Y24" s="67"/>
      <c r="Z24" s="67"/>
      <c r="AA24" s="67"/>
      <c r="AB24" s="67">
        <f t="shared" si="2"/>
        <v>175.49741786855344</v>
      </c>
      <c r="AC24" s="67"/>
      <c r="AD24" s="67">
        <f t="shared" si="3"/>
        <v>276.26565098568619</v>
      </c>
      <c r="AE24" s="67">
        <f t="shared" si="5"/>
        <v>38.878775956863791</v>
      </c>
    </row>
    <row r="25" spans="1:33" s="16" customFormat="1" ht="24.75" customHeight="1" x14ac:dyDescent="0.25">
      <c r="A25" s="65" t="s">
        <v>278</v>
      </c>
      <c r="B25" s="72" t="s">
        <v>563</v>
      </c>
      <c r="C25" s="67">
        <f t="shared" si="10"/>
        <v>409306</v>
      </c>
      <c r="D25" s="67">
        <v>84883</v>
      </c>
      <c r="E25" s="67">
        <f t="shared" si="11"/>
        <v>315936</v>
      </c>
      <c r="F25" s="67">
        <v>315736</v>
      </c>
      <c r="G25" s="67"/>
      <c r="H25" s="67">
        <v>200</v>
      </c>
      <c r="I25" s="67"/>
      <c r="J25" s="67"/>
      <c r="K25" s="67">
        <f t="shared" si="8"/>
        <v>8487</v>
      </c>
      <c r="L25" s="67">
        <v>3283</v>
      </c>
      <c r="M25" s="67">
        <v>5204</v>
      </c>
      <c r="N25" s="67">
        <f t="shared" si="13"/>
        <v>101549.14224299999</v>
      </c>
      <c r="O25" s="67">
        <v>76031.916853999996</v>
      </c>
      <c r="P25" s="68">
        <f t="shared" si="12"/>
        <v>23720.889868000002</v>
      </c>
      <c r="Q25" s="67">
        <f>1513.293841+10346.460741+6313.894837+5547.240449</f>
        <v>23720.889868000002</v>
      </c>
      <c r="R25" s="67"/>
      <c r="S25" s="67"/>
      <c r="T25" s="67"/>
      <c r="U25" s="67">
        <f t="shared" si="9"/>
        <v>1796.335521</v>
      </c>
      <c r="V25" s="67"/>
      <c r="W25" s="67">
        <f>373.054328+1423.281193</f>
        <v>1796.335521</v>
      </c>
      <c r="X25" s="67"/>
      <c r="Y25" s="67"/>
      <c r="Z25" s="67"/>
      <c r="AA25" s="67"/>
      <c r="AB25" s="67">
        <f t="shared" si="2"/>
        <v>24.810079071159475</v>
      </c>
      <c r="AC25" s="67">
        <f t="shared" si="2"/>
        <v>89.572608006314567</v>
      </c>
      <c r="AD25" s="67">
        <f t="shared" si="3"/>
        <v>7.508131351919376</v>
      </c>
      <c r="AE25" s="67">
        <f t="shared" si="5"/>
        <v>21.16573018734535</v>
      </c>
    </row>
    <row r="26" spans="1:33" s="16" customFormat="1" ht="34.5" customHeight="1" x14ac:dyDescent="0.25">
      <c r="A26" s="70" t="s">
        <v>280</v>
      </c>
      <c r="B26" s="72" t="s">
        <v>564</v>
      </c>
      <c r="C26" s="67">
        <f t="shared" si="10"/>
        <v>10155</v>
      </c>
      <c r="D26" s="67"/>
      <c r="E26" s="67">
        <f t="shared" si="11"/>
        <v>10032</v>
      </c>
      <c r="F26" s="67">
        <v>10002</v>
      </c>
      <c r="G26" s="67"/>
      <c r="H26" s="67">
        <v>30</v>
      </c>
      <c r="I26" s="67"/>
      <c r="J26" s="67"/>
      <c r="K26" s="67">
        <f t="shared" si="8"/>
        <v>123</v>
      </c>
      <c r="L26" s="67">
        <v>0</v>
      </c>
      <c r="M26" s="67">
        <v>123</v>
      </c>
      <c r="N26" s="67">
        <f>O26+P26+S26+T26+U26</f>
        <v>10398.520349999999</v>
      </c>
      <c r="O26" s="67"/>
      <c r="P26" s="68">
        <f t="shared" si="12"/>
        <v>10292.700349999999</v>
      </c>
      <c r="Q26" s="67">
        <f>1809+7768.70035+715</f>
        <v>10292.700349999999</v>
      </c>
      <c r="R26" s="67"/>
      <c r="S26" s="67"/>
      <c r="T26" s="67"/>
      <c r="U26" s="67">
        <f t="shared" si="9"/>
        <v>105.82</v>
      </c>
      <c r="V26" s="67"/>
      <c r="W26" s="67">
        <v>105.82</v>
      </c>
      <c r="X26" s="67"/>
      <c r="Y26" s="67"/>
      <c r="Z26" s="67"/>
      <c r="AA26" s="67"/>
      <c r="AB26" s="67">
        <f t="shared" si="2"/>
        <v>102.3980339734121</v>
      </c>
      <c r="AC26" s="67"/>
      <c r="AD26" s="67">
        <f t="shared" si="3"/>
        <v>102.59868769936205</v>
      </c>
      <c r="AE26" s="67">
        <f t="shared" si="5"/>
        <v>86.032520325203251</v>
      </c>
    </row>
    <row r="27" spans="1:33" s="16" customFormat="1" ht="24.75" customHeight="1" x14ac:dyDescent="0.25">
      <c r="A27" s="65" t="s">
        <v>282</v>
      </c>
      <c r="B27" s="72" t="s">
        <v>565</v>
      </c>
      <c r="C27" s="67">
        <f t="shared" si="10"/>
        <v>97404.214999999997</v>
      </c>
      <c r="D27" s="67">
        <v>13299.215000000004</v>
      </c>
      <c r="E27" s="67">
        <f t="shared" si="11"/>
        <v>84076</v>
      </c>
      <c r="F27" s="67">
        <v>84041</v>
      </c>
      <c r="G27" s="67"/>
      <c r="H27" s="67">
        <v>35</v>
      </c>
      <c r="I27" s="67"/>
      <c r="J27" s="67"/>
      <c r="K27" s="67">
        <f t="shared" si="8"/>
        <v>29</v>
      </c>
      <c r="L27" s="67">
        <v>0</v>
      </c>
      <c r="M27" s="67">
        <v>29</v>
      </c>
      <c r="N27" s="67">
        <f t="shared" si="13"/>
        <v>112761.037014</v>
      </c>
      <c r="O27" s="67">
        <v>31739.9764</v>
      </c>
      <c r="P27" s="68">
        <f t="shared" si="12"/>
        <v>80989.158614</v>
      </c>
      <c r="Q27" s="67"/>
      <c r="R27" s="67">
        <v>80989.158614</v>
      </c>
      <c r="S27" s="67"/>
      <c r="T27" s="67"/>
      <c r="U27" s="67">
        <f t="shared" si="9"/>
        <v>31.902000000000001</v>
      </c>
      <c r="V27" s="67"/>
      <c r="W27" s="67">
        <v>31.902000000000001</v>
      </c>
      <c r="X27" s="67"/>
      <c r="Y27" s="67"/>
      <c r="Z27" s="67"/>
      <c r="AA27" s="67"/>
      <c r="AB27" s="67">
        <f t="shared" si="2"/>
        <v>115.76607543523656</v>
      </c>
      <c r="AC27" s="67">
        <f t="shared" si="2"/>
        <v>238.66052545206608</v>
      </c>
      <c r="AD27" s="67">
        <f t="shared" si="3"/>
        <v>96.328510649888202</v>
      </c>
      <c r="AE27" s="67">
        <f t="shared" si="5"/>
        <v>110.00689655172415</v>
      </c>
    </row>
    <row r="28" spans="1:33" s="16" customFormat="1" ht="24.75" customHeight="1" x14ac:dyDescent="0.25">
      <c r="A28" s="70" t="s">
        <v>284</v>
      </c>
      <c r="B28" s="72" t="s">
        <v>566</v>
      </c>
      <c r="C28" s="67">
        <f t="shared" si="10"/>
        <v>19451</v>
      </c>
      <c r="D28" s="67"/>
      <c r="E28" s="67">
        <f t="shared" si="11"/>
        <v>19451</v>
      </c>
      <c r="F28" s="67">
        <v>19451</v>
      </c>
      <c r="G28" s="67"/>
      <c r="H28" s="67"/>
      <c r="I28" s="67"/>
      <c r="J28" s="67"/>
      <c r="K28" s="67">
        <f t="shared" si="8"/>
        <v>0</v>
      </c>
      <c r="L28" s="67"/>
      <c r="M28" s="67"/>
      <c r="N28" s="67">
        <f t="shared" si="13"/>
        <v>20287.062655000002</v>
      </c>
      <c r="O28" s="67">
        <v>6909.9779999999992</v>
      </c>
      <c r="P28" s="68">
        <f t="shared" si="12"/>
        <v>13377.084655000001</v>
      </c>
      <c r="Q28" s="67">
        <f>11735.752783+1641.331872</f>
        <v>13377.084655000001</v>
      </c>
      <c r="R28" s="67"/>
      <c r="S28" s="67"/>
      <c r="T28" s="67"/>
      <c r="U28" s="67">
        <f t="shared" si="9"/>
        <v>0</v>
      </c>
      <c r="V28" s="67"/>
      <c r="W28" s="67"/>
      <c r="X28" s="67"/>
      <c r="Y28" s="67"/>
      <c r="Z28" s="67"/>
      <c r="AA28" s="67"/>
      <c r="AB28" s="67">
        <f t="shared" ref="AB28:AC76" si="14">N28/C28%</f>
        <v>104.29830165544189</v>
      </c>
      <c r="AC28" s="67"/>
      <c r="AD28" s="67">
        <f t="shared" si="3"/>
        <v>68.773248958922423</v>
      </c>
      <c r="AE28" s="67"/>
    </row>
    <row r="29" spans="1:33" s="16" customFormat="1" ht="24.75" customHeight="1" x14ac:dyDescent="0.25">
      <c r="A29" s="65" t="s">
        <v>286</v>
      </c>
      <c r="B29" s="72" t="s">
        <v>567</v>
      </c>
      <c r="C29" s="67">
        <f t="shared" si="10"/>
        <v>12033</v>
      </c>
      <c r="D29" s="67"/>
      <c r="E29" s="67">
        <f t="shared" si="11"/>
        <v>11333</v>
      </c>
      <c r="F29" s="67">
        <v>11248</v>
      </c>
      <c r="G29" s="67"/>
      <c r="H29" s="67">
        <v>85</v>
      </c>
      <c r="I29" s="67"/>
      <c r="J29" s="67"/>
      <c r="K29" s="67">
        <f t="shared" si="8"/>
        <v>700</v>
      </c>
      <c r="L29" s="67">
        <v>0</v>
      </c>
      <c r="M29" s="67">
        <v>700</v>
      </c>
      <c r="N29" s="67">
        <f t="shared" si="13"/>
        <v>10548.70804</v>
      </c>
      <c r="O29" s="67"/>
      <c r="P29" s="68">
        <f t="shared" si="12"/>
        <v>9242.9102789999997</v>
      </c>
      <c r="Q29" s="67">
        <f>2592+4208+1515+327.910279+280+320</f>
        <v>9242.9102789999997</v>
      </c>
      <c r="R29" s="67"/>
      <c r="S29" s="67"/>
      <c r="T29" s="67"/>
      <c r="U29" s="67">
        <f t="shared" si="9"/>
        <v>1305.797761</v>
      </c>
      <c r="V29" s="67"/>
      <c r="W29" s="67">
        <f>383+922.797761</f>
        <v>1305.797761</v>
      </c>
      <c r="X29" s="67"/>
      <c r="Y29" s="67"/>
      <c r="Z29" s="67"/>
      <c r="AA29" s="67"/>
      <c r="AB29" s="67">
        <f t="shared" si="14"/>
        <v>87.664822072633584</v>
      </c>
      <c r="AC29" s="67"/>
      <c r="AD29" s="67">
        <f t="shared" si="3"/>
        <v>81.557489446748434</v>
      </c>
      <c r="AE29" s="67">
        <f t="shared" si="5"/>
        <v>186.5425372857143</v>
      </c>
    </row>
    <row r="30" spans="1:33" s="16" customFormat="1" ht="24.75" customHeight="1" x14ac:dyDescent="0.25">
      <c r="A30" s="70" t="s">
        <v>288</v>
      </c>
      <c r="B30" s="72" t="s">
        <v>568</v>
      </c>
      <c r="C30" s="67">
        <f t="shared" si="10"/>
        <v>24302</v>
      </c>
      <c r="D30" s="67"/>
      <c r="E30" s="67">
        <f t="shared" si="11"/>
        <v>20766</v>
      </c>
      <c r="F30" s="67">
        <v>20736</v>
      </c>
      <c r="G30" s="67"/>
      <c r="H30" s="67">
        <v>30</v>
      </c>
      <c r="I30" s="67"/>
      <c r="J30" s="67"/>
      <c r="K30" s="67">
        <f t="shared" si="8"/>
        <v>3536</v>
      </c>
      <c r="L30" s="67">
        <v>1169</v>
      </c>
      <c r="M30" s="67">
        <v>2367</v>
      </c>
      <c r="N30" s="67">
        <f t="shared" si="13"/>
        <v>26508.084105000002</v>
      </c>
      <c r="O30" s="67"/>
      <c r="P30" s="68">
        <f t="shared" si="12"/>
        <v>20782.108360000002</v>
      </c>
      <c r="Q30" s="68">
        <f>3718.122893+15099.512532+1964.472935</f>
        <v>20782.108360000002</v>
      </c>
      <c r="R30" s="67"/>
      <c r="S30" s="67"/>
      <c r="T30" s="67"/>
      <c r="U30" s="67">
        <f t="shared" si="9"/>
        <v>5725.9757449999997</v>
      </c>
      <c r="V30" s="67"/>
      <c r="W30" s="67">
        <v>5725.9757449999997</v>
      </c>
      <c r="X30" s="67"/>
      <c r="Y30" s="67"/>
      <c r="Z30" s="67"/>
      <c r="AA30" s="67"/>
      <c r="AB30" s="67">
        <f t="shared" si="14"/>
        <v>109.07778826845528</v>
      </c>
      <c r="AC30" s="67"/>
      <c r="AD30" s="67">
        <f t="shared" si="3"/>
        <v>100.07757083694501</v>
      </c>
      <c r="AE30" s="67">
        <f t="shared" si="5"/>
        <v>161.93370319570136</v>
      </c>
    </row>
    <row r="31" spans="1:33" s="16" customFormat="1" ht="24.75" customHeight="1" x14ac:dyDescent="0.25">
      <c r="A31" s="65" t="s">
        <v>290</v>
      </c>
      <c r="B31" s="72" t="s">
        <v>569</v>
      </c>
      <c r="C31" s="67">
        <f t="shared" si="10"/>
        <v>178749.886</v>
      </c>
      <c r="D31" s="67">
        <v>157580.886</v>
      </c>
      <c r="E31" s="67">
        <f t="shared" si="11"/>
        <v>21169</v>
      </c>
      <c r="F31" s="67">
        <v>21169</v>
      </c>
      <c r="G31" s="67"/>
      <c r="H31" s="67"/>
      <c r="I31" s="67"/>
      <c r="J31" s="67"/>
      <c r="K31" s="67">
        <f t="shared" si="8"/>
        <v>0</v>
      </c>
      <c r="L31" s="67"/>
      <c r="M31" s="67"/>
      <c r="N31" s="67">
        <f t="shared" si="13"/>
        <v>185380.741713</v>
      </c>
      <c r="O31" s="67">
        <f>164365.259597-5010.815</f>
        <v>159354.44459699999</v>
      </c>
      <c r="P31" s="68">
        <f t="shared" si="12"/>
        <v>26026.297116000002</v>
      </c>
      <c r="Q31" s="67">
        <f>11936.737+12821+1268.560116</f>
        <v>26026.297116000002</v>
      </c>
      <c r="R31" s="67"/>
      <c r="S31" s="67"/>
      <c r="T31" s="67"/>
      <c r="U31" s="67">
        <f t="shared" si="9"/>
        <v>0</v>
      </c>
      <c r="V31" s="67"/>
      <c r="W31" s="67"/>
      <c r="X31" s="67"/>
      <c r="Y31" s="67"/>
      <c r="Z31" s="67"/>
      <c r="AA31" s="67"/>
      <c r="AB31" s="67">
        <f t="shared" si="14"/>
        <v>103.70957199547529</v>
      </c>
      <c r="AC31" s="67">
        <f t="shared" si="14"/>
        <v>101.12549094120462</v>
      </c>
      <c r="AD31" s="67">
        <f t="shared" si="3"/>
        <v>122.94533098398603</v>
      </c>
      <c r="AE31" s="67"/>
    </row>
    <row r="32" spans="1:33" s="16" customFormat="1" ht="24.75" customHeight="1" x14ac:dyDescent="0.25">
      <c r="A32" s="70" t="s">
        <v>292</v>
      </c>
      <c r="B32" s="72" t="s">
        <v>289</v>
      </c>
      <c r="C32" s="67">
        <f t="shared" si="10"/>
        <v>50977.5</v>
      </c>
      <c r="D32" s="67">
        <v>27687.5</v>
      </c>
      <c r="E32" s="67">
        <f t="shared" si="11"/>
        <v>21547</v>
      </c>
      <c r="F32" s="67">
        <v>21547</v>
      </c>
      <c r="G32" s="67"/>
      <c r="H32" s="67"/>
      <c r="I32" s="67"/>
      <c r="J32" s="67"/>
      <c r="K32" s="67">
        <f t="shared" si="8"/>
        <v>1743</v>
      </c>
      <c r="L32" s="67"/>
      <c r="M32" s="67">
        <v>1743</v>
      </c>
      <c r="N32" s="67">
        <f t="shared" si="13"/>
        <v>55380.514730000003</v>
      </c>
      <c r="O32" s="67">
        <v>34762.809519999995</v>
      </c>
      <c r="P32" s="68">
        <f t="shared" si="12"/>
        <v>20570.873770000002</v>
      </c>
      <c r="Q32" s="67">
        <f>8687.871+8668.010775+3214.991995</f>
        <v>20570.873770000002</v>
      </c>
      <c r="R32" s="67"/>
      <c r="S32" s="67"/>
      <c r="T32" s="67"/>
      <c r="U32" s="67">
        <f t="shared" si="9"/>
        <v>46.831440000000001</v>
      </c>
      <c r="V32" s="67"/>
      <c r="W32" s="67">
        <v>46.831440000000001</v>
      </c>
      <c r="X32" s="67"/>
      <c r="Y32" s="67"/>
      <c r="Z32" s="67"/>
      <c r="AA32" s="67"/>
      <c r="AB32" s="67">
        <f t="shared" si="14"/>
        <v>108.63717273306852</v>
      </c>
      <c r="AC32" s="67"/>
      <c r="AD32" s="67">
        <f t="shared" si="3"/>
        <v>95.469781268854149</v>
      </c>
      <c r="AE32" s="67">
        <f t="shared" si="5"/>
        <v>2.6868296041308088</v>
      </c>
    </row>
    <row r="33" spans="1:31" s="16" customFormat="1" ht="24.75" customHeight="1" x14ac:dyDescent="0.25">
      <c r="A33" s="65" t="s">
        <v>293</v>
      </c>
      <c r="B33" s="72" t="s">
        <v>570</v>
      </c>
      <c r="C33" s="67">
        <f t="shared" si="10"/>
        <v>42110.400000000001</v>
      </c>
      <c r="D33" s="67">
        <v>25000</v>
      </c>
      <c r="E33" s="67">
        <f t="shared" si="11"/>
        <v>10423.4</v>
      </c>
      <c r="F33" s="67">
        <v>10423.4</v>
      </c>
      <c r="G33" s="67"/>
      <c r="H33" s="67"/>
      <c r="I33" s="67"/>
      <c r="J33" s="67"/>
      <c r="K33" s="67">
        <f t="shared" si="8"/>
        <v>6687</v>
      </c>
      <c r="L33" s="67">
        <v>0</v>
      </c>
      <c r="M33" s="67">
        <v>6687</v>
      </c>
      <c r="N33" s="67">
        <f t="shared" si="13"/>
        <v>58996.076718000004</v>
      </c>
      <c r="O33" s="67">
        <v>37748.898331000004</v>
      </c>
      <c r="P33" s="68">
        <f t="shared" si="12"/>
        <v>15026.852387000001</v>
      </c>
      <c r="Q33" s="67">
        <v>15026.852387000001</v>
      </c>
      <c r="R33" s="67"/>
      <c r="S33" s="67"/>
      <c r="T33" s="67"/>
      <c r="U33" s="67">
        <f t="shared" si="9"/>
        <v>6220.326</v>
      </c>
      <c r="V33" s="67"/>
      <c r="W33" s="67">
        <v>6220.326</v>
      </c>
      <c r="X33" s="67"/>
      <c r="Y33" s="67"/>
      <c r="Z33" s="67"/>
      <c r="AA33" s="67"/>
      <c r="AB33" s="67">
        <f t="shared" si="14"/>
        <v>140.09859017724838</v>
      </c>
      <c r="AC33" s="67"/>
      <c r="AD33" s="67">
        <f t="shared" si="3"/>
        <v>144.16459492104306</v>
      </c>
      <c r="AE33" s="67">
        <f t="shared" si="5"/>
        <v>93.021175414984299</v>
      </c>
    </row>
    <row r="34" spans="1:31" s="16" customFormat="1" ht="24.75" customHeight="1" x14ac:dyDescent="0.25">
      <c r="A34" s="70" t="s">
        <v>295</v>
      </c>
      <c r="B34" s="72" t="s">
        <v>660</v>
      </c>
      <c r="C34" s="67">
        <f t="shared" si="10"/>
        <v>60089.599999999999</v>
      </c>
      <c r="D34" s="67">
        <v>0</v>
      </c>
      <c r="E34" s="67">
        <f t="shared" si="11"/>
        <v>38132.6</v>
      </c>
      <c r="F34" s="67">
        <v>38132.6</v>
      </c>
      <c r="G34" s="67"/>
      <c r="H34" s="67"/>
      <c r="I34" s="67"/>
      <c r="J34" s="67"/>
      <c r="K34" s="67">
        <f t="shared" si="8"/>
        <v>21957</v>
      </c>
      <c r="L34" s="67">
        <v>16710</v>
      </c>
      <c r="M34" s="67">
        <v>5247</v>
      </c>
      <c r="N34" s="67">
        <f t="shared" si="13"/>
        <v>69296.687206000002</v>
      </c>
      <c r="O34" s="67">
        <v>25.400000000001455</v>
      </c>
      <c r="P34" s="68">
        <f t="shared" si="12"/>
        <v>41914.011009000002</v>
      </c>
      <c r="Q34" s="67">
        <f>24059.608098+17854.402911</f>
        <v>41914.011009000002</v>
      </c>
      <c r="R34" s="67"/>
      <c r="S34" s="67"/>
      <c r="T34" s="67"/>
      <c r="U34" s="67">
        <f t="shared" si="9"/>
        <v>27357.276196999999</v>
      </c>
      <c r="V34" s="67">
        <v>21152.292629</v>
      </c>
      <c r="W34" s="67">
        <f>6075.115325+129.868243</f>
        <v>6204.9835679999997</v>
      </c>
      <c r="X34" s="67"/>
      <c r="Y34" s="67"/>
      <c r="Z34" s="67"/>
      <c r="AA34" s="67"/>
      <c r="AB34" s="67">
        <f t="shared" si="14"/>
        <v>115.32226409561723</v>
      </c>
      <c r="AC34" s="67"/>
      <c r="AD34" s="67">
        <f t="shared" si="3"/>
        <v>109.91647831252001</v>
      </c>
      <c r="AE34" s="67">
        <f t="shared" si="5"/>
        <v>124.59478160495514</v>
      </c>
    </row>
    <row r="35" spans="1:31" s="16" customFormat="1" ht="24.75" customHeight="1" x14ac:dyDescent="0.25">
      <c r="A35" s="65" t="s">
        <v>296</v>
      </c>
      <c r="B35" s="72" t="s">
        <v>571</v>
      </c>
      <c r="C35" s="67">
        <f t="shared" si="10"/>
        <v>9651</v>
      </c>
      <c r="D35" s="67"/>
      <c r="E35" s="67">
        <f t="shared" si="11"/>
        <v>9651</v>
      </c>
      <c r="F35" s="67">
        <v>9651</v>
      </c>
      <c r="G35" s="67"/>
      <c r="H35" s="67"/>
      <c r="I35" s="67"/>
      <c r="J35" s="67"/>
      <c r="K35" s="67">
        <f t="shared" si="8"/>
        <v>0</v>
      </c>
      <c r="L35" s="67"/>
      <c r="M35" s="67"/>
      <c r="N35" s="67">
        <f t="shared" si="13"/>
        <v>9561.622836999999</v>
      </c>
      <c r="O35" s="67">
        <v>39.799999999999997</v>
      </c>
      <c r="P35" s="68">
        <f t="shared" si="12"/>
        <v>9521.8228369999997</v>
      </c>
      <c r="Q35" s="67">
        <v>9521.8228369999997</v>
      </c>
      <c r="R35" s="67"/>
      <c r="S35" s="67"/>
      <c r="T35" s="67"/>
      <c r="U35" s="67">
        <f t="shared" si="9"/>
        <v>0</v>
      </c>
      <c r="V35" s="67"/>
      <c r="W35" s="67"/>
      <c r="X35" s="67"/>
      <c r="Y35" s="67"/>
      <c r="Z35" s="67"/>
      <c r="AA35" s="67"/>
      <c r="AB35" s="67">
        <f t="shared" si="14"/>
        <v>99.073907750492168</v>
      </c>
      <c r="AC35" s="67"/>
      <c r="AD35" s="67">
        <f t="shared" si="3"/>
        <v>98.661515252305449</v>
      </c>
      <c r="AE35" s="67"/>
    </row>
    <row r="36" spans="1:31" s="16" customFormat="1" ht="24.75" customHeight="1" x14ac:dyDescent="0.25">
      <c r="A36" s="70" t="s">
        <v>298</v>
      </c>
      <c r="B36" s="72" t="s">
        <v>572</v>
      </c>
      <c r="C36" s="67">
        <f t="shared" si="10"/>
        <v>27508.375</v>
      </c>
      <c r="D36" s="67">
        <v>9082.375</v>
      </c>
      <c r="E36" s="67">
        <f t="shared" si="11"/>
        <v>18426</v>
      </c>
      <c r="F36" s="67">
        <v>18381</v>
      </c>
      <c r="G36" s="67"/>
      <c r="H36" s="67">
        <v>45</v>
      </c>
      <c r="I36" s="67"/>
      <c r="J36" s="67"/>
      <c r="K36" s="67">
        <f t="shared" si="8"/>
        <v>0</v>
      </c>
      <c r="L36" s="67"/>
      <c r="M36" s="67"/>
      <c r="N36" s="67">
        <f t="shared" si="13"/>
        <v>27097.081559999999</v>
      </c>
      <c r="O36" s="67">
        <v>9082.375</v>
      </c>
      <c r="P36" s="68">
        <f t="shared" si="12"/>
        <v>18014.706559999999</v>
      </c>
      <c r="Q36" s="67">
        <v>18014.706559999999</v>
      </c>
      <c r="R36" s="67"/>
      <c r="S36" s="67"/>
      <c r="T36" s="67"/>
      <c r="U36" s="67"/>
      <c r="V36" s="67"/>
      <c r="W36" s="67"/>
      <c r="X36" s="67"/>
      <c r="Y36" s="67"/>
      <c r="Z36" s="67"/>
      <c r="AA36" s="67"/>
      <c r="AB36" s="67">
        <f t="shared" si="14"/>
        <v>98.504842834227745</v>
      </c>
      <c r="AC36" s="67">
        <f t="shared" si="14"/>
        <v>100</v>
      </c>
      <c r="AD36" s="67">
        <f t="shared" si="3"/>
        <v>97.767863670899814</v>
      </c>
      <c r="AE36" s="67"/>
    </row>
    <row r="37" spans="1:31" s="16" customFormat="1" ht="24.75" customHeight="1" x14ac:dyDescent="0.25">
      <c r="A37" s="65" t="s">
        <v>299</v>
      </c>
      <c r="B37" s="72" t="s">
        <v>131</v>
      </c>
      <c r="C37" s="67">
        <f t="shared" si="10"/>
        <v>27323</v>
      </c>
      <c r="D37" s="67">
        <v>0</v>
      </c>
      <c r="E37" s="67">
        <f t="shared" si="11"/>
        <v>5216</v>
      </c>
      <c r="F37" s="67">
        <v>5216</v>
      </c>
      <c r="G37" s="67"/>
      <c r="H37" s="67"/>
      <c r="I37" s="67"/>
      <c r="J37" s="67"/>
      <c r="K37" s="67">
        <f t="shared" si="8"/>
        <v>22107</v>
      </c>
      <c r="L37" s="67">
        <v>2506</v>
      </c>
      <c r="M37" s="67">
        <v>19601</v>
      </c>
      <c r="N37" s="67">
        <f t="shared" si="13"/>
        <v>32259.303383000002</v>
      </c>
      <c r="O37" s="67">
        <v>11771.437109</v>
      </c>
      <c r="P37" s="68">
        <f t="shared" si="12"/>
        <v>3593.067</v>
      </c>
      <c r="Q37" s="67">
        <f>3472+121.067</f>
        <v>3593.067</v>
      </c>
      <c r="R37" s="67"/>
      <c r="S37" s="67"/>
      <c r="T37" s="67"/>
      <c r="U37" s="67">
        <f>V37+W37</f>
        <v>16894.799274000001</v>
      </c>
      <c r="V37" s="67">
        <v>4291</v>
      </c>
      <c r="W37" s="67">
        <v>12603.799274000001</v>
      </c>
      <c r="X37" s="67"/>
      <c r="Y37" s="67"/>
      <c r="Z37" s="67"/>
      <c r="AA37" s="67"/>
      <c r="AB37" s="67">
        <f t="shared" si="14"/>
        <v>118.06647653259159</v>
      </c>
      <c r="AC37" s="67"/>
      <c r="AD37" s="67">
        <f t="shared" si="3"/>
        <v>68.885486963190189</v>
      </c>
      <c r="AE37" s="67">
        <f t="shared" si="5"/>
        <v>76.422849206133805</v>
      </c>
    </row>
    <row r="38" spans="1:31" s="16" customFormat="1" ht="24.75" customHeight="1" x14ac:dyDescent="0.25">
      <c r="A38" s="70" t="s">
        <v>301</v>
      </c>
      <c r="B38" s="72" t="s">
        <v>294</v>
      </c>
      <c r="C38" s="67">
        <f t="shared" si="10"/>
        <v>8447</v>
      </c>
      <c r="D38" s="67"/>
      <c r="E38" s="67">
        <f t="shared" si="11"/>
        <v>8447</v>
      </c>
      <c r="F38" s="67">
        <v>8447</v>
      </c>
      <c r="G38" s="67"/>
      <c r="H38" s="67"/>
      <c r="I38" s="67"/>
      <c r="J38" s="67"/>
      <c r="K38" s="67">
        <f t="shared" si="8"/>
        <v>0</v>
      </c>
      <c r="L38" s="67"/>
      <c r="M38" s="67"/>
      <c r="N38" s="67">
        <f t="shared" si="13"/>
        <v>25830.429695999999</v>
      </c>
      <c r="O38" s="67"/>
      <c r="P38" s="68">
        <f t="shared" si="12"/>
        <v>25830.429695999999</v>
      </c>
      <c r="Q38" s="67">
        <f>14646.1703+11184.259396</f>
        <v>25830.429695999999</v>
      </c>
      <c r="R38" s="67"/>
      <c r="S38" s="67"/>
      <c r="T38" s="67"/>
      <c r="U38" s="67">
        <f>V38+W38</f>
        <v>0</v>
      </c>
      <c r="V38" s="67"/>
      <c r="W38" s="67"/>
      <c r="X38" s="67"/>
      <c r="Y38" s="67"/>
      <c r="Z38" s="67"/>
      <c r="AA38" s="67"/>
      <c r="AB38" s="67">
        <f t="shared" si="14"/>
        <v>305.79412449390315</v>
      </c>
      <c r="AC38" s="67"/>
      <c r="AD38" s="67">
        <f t="shared" si="3"/>
        <v>305.79412449390315</v>
      </c>
      <c r="AE38" s="67"/>
    </row>
    <row r="39" spans="1:31" s="16" customFormat="1" ht="24.75" customHeight="1" x14ac:dyDescent="0.25">
      <c r="A39" s="65" t="s">
        <v>303</v>
      </c>
      <c r="B39" s="72" t="s">
        <v>661</v>
      </c>
      <c r="C39" s="67">
        <f t="shared" si="10"/>
        <v>7029</v>
      </c>
      <c r="D39" s="67"/>
      <c r="E39" s="67">
        <f t="shared" si="11"/>
        <v>7029</v>
      </c>
      <c r="F39" s="67">
        <v>7029</v>
      </c>
      <c r="G39" s="67"/>
      <c r="H39" s="67"/>
      <c r="I39" s="67"/>
      <c r="J39" s="67"/>
      <c r="K39" s="67">
        <f t="shared" si="8"/>
        <v>0</v>
      </c>
      <c r="L39" s="67"/>
      <c r="M39" s="67"/>
      <c r="N39" s="67">
        <f t="shared" si="13"/>
        <v>9122.3751250000005</v>
      </c>
      <c r="O39" s="67"/>
      <c r="P39" s="68">
        <f t="shared" si="12"/>
        <v>9122.3751250000005</v>
      </c>
      <c r="Q39" s="67">
        <v>9122.3751250000005</v>
      </c>
      <c r="R39" s="67"/>
      <c r="S39" s="67"/>
      <c r="T39" s="67"/>
      <c r="U39" s="67">
        <f t="shared" ref="U39:U91" si="15">V39+W39</f>
        <v>0</v>
      </c>
      <c r="V39" s="67"/>
      <c r="W39" s="67"/>
      <c r="X39" s="67"/>
      <c r="Y39" s="67"/>
      <c r="Z39" s="67"/>
      <c r="AA39" s="67"/>
      <c r="AB39" s="67">
        <f t="shared" si="14"/>
        <v>129.78197645468771</v>
      </c>
      <c r="AC39" s="67"/>
      <c r="AD39" s="67">
        <f t="shared" si="3"/>
        <v>129.78197645468771</v>
      </c>
      <c r="AE39" s="67"/>
    </row>
    <row r="40" spans="1:31" s="16" customFormat="1" ht="24.75" customHeight="1" x14ac:dyDescent="0.25">
      <c r="A40" s="70" t="s">
        <v>305</v>
      </c>
      <c r="B40" s="72" t="s">
        <v>573</v>
      </c>
      <c r="C40" s="67">
        <f t="shared" si="10"/>
        <v>15719</v>
      </c>
      <c r="D40" s="67"/>
      <c r="E40" s="67">
        <f t="shared" si="11"/>
        <v>15719</v>
      </c>
      <c r="F40" s="67">
        <v>15719</v>
      </c>
      <c r="G40" s="67"/>
      <c r="H40" s="67"/>
      <c r="I40" s="67"/>
      <c r="J40" s="67"/>
      <c r="K40" s="67">
        <f t="shared" si="8"/>
        <v>0</v>
      </c>
      <c r="L40" s="67"/>
      <c r="M40" s="67"/>
      <c r="N40" s="67">
        <f t="shared" si="13"/>
        <v>21624.831206000003</v>
      </c>
      <c r="O40" s="67">
        <v>6636.9480000000003</v>
      </c>
      <c r="P40" s="68">
        <f t="shared" si="12"/>
        <v>14987.883206</v>
      </c>
      <c r="Q40" s="67">
        <v>14987.883206</v>
      </c>
      <c r="R40" s="67"/>
      <c r="S40" s="67"/>
      <c r="T40" s="67"/>
      <c r="U40" s="67">
        <f t="shared" si="15"/>
        <v>0</v>
      </c>
      <c r="V40" s="67"/>
      <c r="W40" s="67"/>
      <c r="X40" s="67"/>
      <c r="Y40" s="67"/>
      <c r="Z40" s="67"/>
      <c r="AA40" s="67"/>
      <c r="AB40" s="67">
        <f t="shared" si="14"/>
        <v>137.57129083275018</v>
      </c>
      <c r="AC40" s="67"/>
      <c r="AD40" s="67">
        <f t="shared" si="3"/>
        <v>95.348833933456334</v>
      </c>
      <c r="AE40" s="67"/>
    </row>
    <row r="41" spans="1:31" s="16" customFormat="1" ht="24.75" customHeight="1" x14ac:dyDescent="0.25">
      <c r="A41" s="65" t="s">
        <v>307</v>
      </c>
      <c r="B41" s="72" t="s">
        <v>574</v>
      </c>
      <c r="C41" s="67">
        <f t="shared" si="10"/>
        <v>99218.957999999999</v>
      </c>
      <c r="D41" s="67">
        <v>83441.957999999999</v>
      </c>
      <c r="E41" s="67">
        <f>F41+G41+H41</f>
        <v>15748</v>
      </c>
      <c r="F41" s="67">
        <v>13748</v>
      </c>
      <c r="G41" s="67"/>
      <c r="H41" s="67">
        <v>2000</v>
      </c>
      <c r="I41" s="67"/>
      <c r="J41" s="67"/>
      <c r="K41" s="67">
        <f t="shared" si="8"/>
        <v>29</v>
      </c>
      <c r="L41" s="67">
        <v>0</v>
      </c>
      <c r="M41" s="67">
        <v>29</v>
      </c>
      <c r="N41" s="67">
        <f t="shared" si="13"/>
        <v>99626.735323000001</v>
      </c>
      <c r="O41" s="67">
        <f>97830.404678-12206.46313</f>
        <v>85623.941548000003</v>
      </c>
      <c r="P41" s="68">
        <f t="shared" si="12"/>
        <v>13973.393775</v>
      </c>
      <c r="Q41" s="67">
        <f>7886.594623+2470.487909+3616.311243</f>
        <v>13973.393775</v>
      </c>
      <c r="R41" s="67"/>
      <c r="S41" s="67"/>
      <c r="T41" s="67"/>
      <c r="U41" s="67">
        <f t="shared" si="15"/>
        <v>29.4</v>
      </c>
      <c r="V41" s="67"/>
      <c r="W41" s="67">
        <v>29.4</v>
      </c>
      <c r="X41" s="67"/>
      <c r="Y41" s="67"/>
      <c r="Z41" s="67"/>
      <c r="AA41" s="67"/>
      <c r="AB41" s="67">
        <f t="shared" si="14"/>
        <v>100.41098730647826</v>
      </c>
      <c r="AC41" s="67"/>
      <c r="AD41" s="67">
        <f t="shared" si="3"/>
        <v>88.731227933705881</v>
      </c>
      <c r="AE41" s="67">
        <f t="shared" si="5"/>
        <v>101.37931034482759</v>
      </c>
    </row>
    <row r="42" spans="1:31" s="16" customFormat="1" ht="24.75" customHeight="1" x14ac:dyDescent="0.25">
      <c r="A42" s="70" t="s">
        <v>309</v>
      </c>
      <c r="B42" s="72" t="s">
        <v>575</v>
      </c>
      <c r="C42" s="67">
        <f t="shared" si="10"/>
        <v>10049</v>
      </c>
      <c r="D42" s="67"/>
      <c r="E42" s="67">
        <f t="shared" si="11"/>
        <v>10020</v>
      </c>
      <c r="F42" s="67">
        <v>10020</v>
      </c>
      <c r="G42" s="67"/>
      <c r="H42" s="67"/>
      <c r="I42" s="67"/>
      <c r="J42" s="67"/>
      <c r="K42" s="67">
        <f t="shared" si="8"/>
        <v>29</v>
      </c>
      <c r="L42" s="67">
        <v>0</v>
      </c>
      <c r="M42" s="67">
        <v>29</v>
      </c>
      <c r="N42" s="67">
        <f t="shared" si="13"/>
        <v>11498.555909000001</v>
      </c>
      <c r="O42" s="67"/>
      <c r="P42" s="68">
        <f t="shared" si="12"/>
        <v>11466.555909000001</v>
      </c>
      <c r="Q42" s="67">
        <f>11498.555909-32</f>
        <v>11466.555909000001</v>
      </c>
      <c r="R42" s="67"/>
      <c r="S42" s="67"/>
      <c r="T42" s="67"/>
      <c r="U42" s="67">
        <f t="shared" si="15"/>
        <v>32</v>
      </c>
      <c r="V42" s="67"/>
      <c r="W42" s="67">
        <v>32</v>
      </c>
      <c r="X42" s="67"/>
      <c r="Y42" s="67"/>
      <c r="Z42" s="67"/>
      <c r="AA42" s="67"/>
      <c r="AB42" s="67">
        <f t="shared" si="14"/>
        <v>114.42487719176039</v>
      </c>
      <c r="AC42" s="67"/>
      <c r="AD42" s="67">
        <f t="shared" si="3"/>
        <v>114.43668571856287</v>
      </c>
      <c r="AE42" s="67">
        <f t="shared" si="5"/>
        <v>110.3448275862069</v>
      </c>
    </row>
    <row r="43" spans="1:31" s="16" customFormat="1" ht="24.75" customHeight="1" x14ac:dyDescent="0.25">
      <c r="A43" s="65" t="s">
        <v>311</v>
      </c>
      <c r="B43" s="72" t="s">
        <v>304</v>
      </c>
      <c r="C43" s="67">
        <f t="shared" si="10"/>
        <v>91836</v>
      </c>
      <c r="D43" s="67">
        <v>56422</v>
      </c>
      <c r="E43" s="67">
        <f t="shared" si="11"/>
        <v>35414</v>
      </c>
      <c r="F43" s="67">
        <v>35414</v>
      </c>
      <c r="G43" s="67"/>
      <c r="H43" s="67"/>
      <c r="I43" s="67"/>
      <c r="J43" s="67"/>
      <c r="K43" s="67">
        <f t="shared" si="8"/>
        <v>0</v>
      </c>
      <c r="L43" s="67"/>
      <c r="M43" s="67"/>
      <c r="N43" s="67">
        <f t="shared" si="13"/>
        <v>35465.216394000003</v>
      </c>
      <c r="O43" s="67">
        <f>38166.238138-33506.169138</f>
        <v>4660.0690000000031</v>
      </c>
      <c r="P43" s="68">
        <f t="shared" si="12"/>
        <v>30805.147394</v>
      </c>
      <c r="Q43" s="67">
        <f>26681.46909+4123.678304</f>
        <v>30805.147394</v>
      </c>
      <c r="R43" s="67"/>
      <c r="S43" s="67"/>
      <c r="T43" s="67"/>
      <c r="U43" s="67">
        <f t="shared" si="15"/>
        <v>0</v>
      </c>
      <c r="V43" s="67"/>
      <c r="W43" s="67"/>
      <c r="X43" s="67"/>
      <c r="Y43" s="67"/>
      <c r="Z43" s="67"/>
      <c r="AA43" s="67"/>
      <c r="AB43" s="67">
        <f t="shared" si="14"/>
        <v>38.617989017378811</v>
      </c>
      <c r="AC43" s="67">
        <f t="shared" si="14"/>
        <v>8.2593119705079623</v>
      </c>
      <c r="AD43" s="67">
        <f t="shared" si="3"/>
        <v>86.985789218952959</v>
      </c>
      <c r="AE43" s="67"/>
    </row>
    <row r="44" spans="1:31" s="16" customFormat="1" ht="24.75" customHeight="1" x14ac:dyDescent="0.25">
      <c r="A44" s="70" t="s">
        <v>313</v>
      </c>
      <c r="B44" s="72" t="s">
        <v>576</v>
      </c>
      <c r="C44" s="67">
        <f t="shared" si="10"/>
        <v>2667</v>
      </c>
      <c r="D44" s="67"/>
      <c r="E44" s="67">
        <f t="shared" si="11"/>
        <v>2667</v>
      </c>
      <c r="F44" s="67">
        <v>2637</v>
      </c>
      <c r="G44" s="67"/>
      <c r="H44" s="67">
        <v>30</v>
      </c>
      <c r="I44" s="67"/>
      <c r="J44" s="67"/>
      <c r="K44" s="67">
        <f t="shared" si="8"/>
        <v>0</v>
      </c>
      <c r="L44" s="67"/>
      <c r="M44" s="67"/>
      <c r="N44" s="67">
        <f t="shared" si="13"/>
        <v>2436.4227599999999</v>
      </c>
      <c r="O44" s="67"/>
      <c r="P44" s="68">
        <f t="shared" si="12"/>
        <v>2436.4227599999999</v>
      </c>
      <c r="Q44" s="67">
        <v>2436.4227599999999</v>
      </c>
      <c r="R44" s="67"/>
      <c r="S44" s="67"/>
      <c r="T44" s="67"/>
      <c r="U44" s="67">
        <f t="shared" si="15"/>
        <v>0</v>
      </c>
      <c r="V44" s="67"/>
      <c r="W44" s="67"/>
      <c r="X44" s="67"/>
      <c r="Y44" s="67"/>
      <c r="Z44" s="67"/>
      <c r="AA44" s="67"/>
      <c r="AB44" s="67">
        <f t="shared" si="14"/>
        <v>91.354434195725531</v>
      </c>
      <c r="AC44" s="67"/>
      <c r="AD44" s="67">
        <f t="shared" si="3"/>
        <v>91.354434195725531</v>
      </c>
      <c r="AE44" s="67"/>
    </row>
    <row r="45" spans="1:31" s="114" customFormat="1" ht="24.75" hidden="1" customHeight="1" outlineLevel="1" x14ac:dyDescent="0.25">
      <c r="A45" s="65" t="s">
        <v>315</v>
      </c>
      <c r="B45" s="72" t="s">
        <v>577</v>
      </c>
      <c r="C45" s="67">
        <f t="shared" si="10"/>
        <v>7431</v>
      </c>
      <c r="D45" s="67"/>
      <c r="E45" s="67">
        <f t="shared" si="11"/>
        <v>6931</v>
      </c>
      <c r="F45" s="67">
        <v>6931</v>
      </c>
      <c r="G45" s="67"/>
      <c r="H45" s="67"/>
      <c r="I45" s="67"/>
      <c r="J45" s="67"/>
      <c r="K45" s="67">
        <f t="shared" si="8"/>
        <v>500</v>
      </c>
      <c r="L45" s="67">
        <v>0</v>
      </c>
      <c r="M45" s="67">
        <v>500</v>
      </c>
      <c r="N45" s="67">
        <f t="shared" si="13"/>
        <v>5672.6329999999998</v>
      </c>
      <c r="O45" s="67"/>
      <c r="P45" s="68">
        <f t="shared" si="12"/>
        <v>5158.6329999999998</v>
      </c>
      <c r="Q45" s="67">
        <f>3672+1486.633</f>
        <v>5158.6329999999998</v>
      </c>
      <c r="R45" s="67"/>
      <c r="S45" s="67"/>
      <c r="T45" s="67"/>
      <c r="U45" s="67">
        <f t="shared" si="15"/>
        <v>514</v>
      </c>
      <c r="V45" s="67"/>
      <c r="W45" s="67">
        <v>514</v>
      </c>
      <c r="X45" s="67"/>
      <c r="Y45" s="67"/>
      <c r="Z45" s="67"/>
      <c r="AA45" s="67"/>
      <c r="AB45" s="67">
        <f t="shared" si="14"/>
        <v>76.337410846454034</v>
      </c>
      <c r="AC45" s="67"/>
      <c r="AD45" s="67">
        <f t="shared" si="3"/>
        <v>74.428408599047756</v>
      </c>
      <c r="AE45" s="67">
        <f t="shared" si="5"/>
        <v>102.8</v>
      </c>
    </row>
    <row r="46" spans="1:31" s="16" customFormat="1" ht="33.75" customHeight="1" collapsed="1" x14ac:dyDescent="0.25">
      <c r="A46" s="70" t="s">
        <v>316</v>
      </c>
      <c r="B46" s="72" t="s">
        <v>310</v>
      </c>
      <c r="C46" s="67">
        <f t="shared" si="10"/>
        <v>8585</v>
      </c>
      <c r="D46" s="67"/>
      <c r="E46" s="67">
        <f t="shared" si="11"/>
        <v>8400</v>
      </c>
      <c r="F46" s="67">
        <v>8365</v>
      </c>
      <c r="G46" s="67"/>
      <c r="H46" s="67">
        <v>35</v>
      </c>
      <c r="I46" s="67"/>
      <c r="J46" s="67"/>
      <c r="K46" s="67">
        <f t="shared" si="8"/>
        <v>185</v>
      </c>
      <c r="L46" s="67">
        <v>0</v>
      </c>
      <c r="M46" s="67">
        <v>185</v>
      </c>
      <c r="N46" s="67">
        <f t="shared" si="13"/>
        <v>8212.285084000001</v>
      </c>
      <c r="O46" s="67"/>
      <c r="P46" s="68">
        <f t="shared" si="12"/>
        <v>7897.9468340000003</v>
      </c>
      <c r="Q46" s="67">
        <f>5010+2887.946834</f>
        <v>7897.9468340000003</v>
      </c>
      <c r="R46" s="67"/>
      <c r="S46" s="67"/>
      <c r="T46" s="67"/>
      <c r="U46" s="67">
        <f t="shared" si="15"/>
        <v>314.33825000000002</v>
      </c>
      <c r="V46" s="67"/>
      <c r="W46" s="67">
        <v>314.33825000000002</v>
      </c>
      <c r="X46" s="67"/>
      <c r="Y46" s="67"/>
      <c r="Z46" s="67"/>
      <c r="AA46" s="67"/>
      <c r="AB46" s="67">
        <f t="shared" si="14"/>
        <v>95.658533302271422</v>
      </c>
      <c r="AC46" s="67"/>
      <c r="AD46" s="67">
        <f t="shared" si="3"/>
        <v>94.023176595238098</v>
      </c>
      <c r="AE46" s="67">
        <f t="shared" si="5"/>
        <v>169.91256756756758</v>
      </c>
    </row>
    <row r="47" spans="1:31" s="16" customFormat="1" ht="24.75" customHeight="1" x14ac:dyDescent="0.25">
      <c r="A47" s="65" t="s">
        <v>318</v>
      </c>
      <c r="B47" s="72" t="s">
        <v>578</v>
      </c>
      <c r="C47" s="67">
        <f t="shared" si="10"/>
        <v>17055</v>
      </c>
      <c r="D47" s="67"/>
      <c r="E47" s="67">
        <f t="shared" si="11"/>
        <v>6190</v>
      </c>
      <c r="F47" s="67">
        <v>5960</v>
      </c>
      <c r="G47" s="67"/>
      <c r="H47" s="67">
        <v>230</v>
      </c>
      <c r="I47" s="67"/>
      <c r="J47" s="67"/>
      <c r="K47" s="67">
        <f t="shared" si="8"/>
        <v>10865</v>
      </c>
      <c r="L47" s="67">
        <v>0</v>
      </c>
      <c r="M47" s="67">
        <v>10865</v>
      </c>
      <c r="N47" s="67">
        <f t="shared" si="13"/>
        <v>10061.115204</v>
      </c>
      <c r="O47" s="67"/>
      <c r="P47" s="68">
        <f t="shared" si="12"/>
        <v>6383.2314539999998</v>
      </c>
      <c r="Q47" s="67">
        <f>4468.931454+1914.3</f>
        <v>6383.2314539999998</v>
      </c>
      <c r="R47" s="67"/>
      <c r="S47" s="67"/>
      <c r="T47" s="67"/>
      <c r="U47" s="67">
        <f t="shared" si="15"/>
        <v>3677.88375</v>
      </c>
      <c r="V47" s="67"/>
      <c r="W47" s="67">
        <v>3677.88375</v>
      </c>
      <c r="X47" s="67"/>
      <c r="Y47" s="67"/>
      <c r="Z47" s="67"/>
      <c r="AA47" s="67"/>
      <c r="AB47" s="67">
        <f t="shared" si="14"/>
        <v>58.992173579595423</v>
      </c>
      <c r="AC47" s="67"/>
      <c r="AD47" s="67">
        <f t="shared" si="3"/>
        <v>103.1216713085622</v>
      </c>
      <c r="AE47" s="67">
        <f t="shared" si="5"/>
        <v>33.850747814081913</v>
      </c>
    </row>
    <row r="48" spans="1:31" s="16" customFormat="1" ht="54" customHeight="1" x14ac:dyDescent="0.25">
      <c r="A48" s="70" t="s">
        <v>320</v>
      </c>
      <c r="B48" s="72" t="s">
        <v>662</v>
      </c>
      <c r="C48" s="67">
        <f t="shared" si="10"/>
        <v>849042.3</v>
      </c>
      <c r="D48" s="67">
        <v>849042.3</v>
      </c>
      <c r="E48" s="67">
        <f t="shared" si="11"/>
        <v>0</v>
      </c>
      <c r="F48" s="67"/>
      <c r="G48" s="67"/>
      <c r="H48" s="67"/>
      <c r="I48" s="67"/>
      <c r="J48" s="67"/>
      <c r="K48" s="67">
        <f t="shared" si="8"/>
        <v>0</v>
      </c>
      <c r="L48" s="67"/>
      <c r="M48" s="67"/>
      <c r="N48" s="67">
        <f t="shared" si="13"/>
        <v>160637.16208800001</v>
      </c>
      <c r="O48" s="67">
        <f>221470.28202-60833.119932</f>
        <v>160637.16208800001</v>
      </c>
      <c r="P48" s="68">
        <f t="shared" si="12"/>
        <v>0</v>
      </c>
      <c r="Q48" s="67"/>
      <c r="R48" s="67"/>
      <c r="S48" s="67"/>
      <c r="T48" s="67"/>
      <c r="U48" s="67">
        <f t="shared" si="15"/>
        <v>0</v>
      </c>
      <c r="V48" s="67"/>
      <c r="W48" s="67"/>
      <c r="X48" s="67"/>
      <c r="Y48" s="67"/>
      <c r="Z48" s="67"/>
      <c r="AA48" s="67"/>
      <c r="AB48" s="67">
        <f t="shared" si="14"/>
        <v>18.919806714930456</v>
      </c>
      <c r="AC48" s="67"/>
      <c r="AD48" s="67"/>
      <c r="AE48" s="67"/>
    </row>
    <row r="49" spans="1:31" s="16" customFormat="1" ht="36.75" customHeight="1" x14ac:dyDescent="0.25">
      <c r="A49" s="65" t="s">
        <v>322</v>
      </c>
      <c r="B49" s="72" t="s">
        <v>350</v>
      </c>
      <c r="C49" s="67">
        <f t="shared" si="10"/>
        <v>18823</v>
      </c>
      <c r="D49" s="67">
        <v>18823</v>
      </c>
      <c r="E49" s="67">
        <f t="shared" si="11"/>
        <v>0</v>
      </c>
      <c r="F49" s="67"/>
      <c r="G49" s="67"/>
      <c r="H49" s="67"/>
      <c r="I49" s="67"/>
      <c r="J49" s="67"/>
      <c r="K49" s="67">
        <f t="shared" si="8"/>
        <v>0</v>
      </c>
      <c r="L49" s="67"/>
      <c r="M49" s="67"/>
      <c r="N49" s="67">
        <f t="shared" si="13"/>
        <v>8716.9459999999999</v>
      </c>
      <c r="O49" s="67">
        <v>8716.9459999999999</v>
      </c>
      <c r="P49" s="68">
        <f t="shared" si="12"/>
        <v>0</v>
      </c>
      <c r="Q49" s="67"/>
      <c r="R49" s="67"/>
      <c r="S49" s="67"/>
      <c r="T49" s="67"/>
      <c r="U49" s="67">
        <f t="shared" si="15"/>
        <v>0</v>
      </c>
      <c r="V49" s="67"/>
      <c r="W49" s="67"/>
      <c r="X49" s="67"/>
      <c r="Y49" s="67"/>
      <c r="Z49" s="67"/>
      <c r="AA49" s="67"/>
      <c r="AB49" s="67">
        <f t="shared" si="14"/>
        <v>46.310078095946452</v>
      </c>
      <c r="AC49" s="67"/>
      <c r="AD49" s="67"/>
      <c r="AE49" s="67"/>
    </row>
    <row r="50" spans="1:31" s="16" customFormat="1" ht="24.75" customHeight="1" x14ac:dyDescent="0.25">
      <c r="A50" s="70" t="s">
        <v>324</v>
      </c>
      <c r="B50" s="72" t="s">
        <v>579</v>
      </c>
      <c r="C50" s="67">
        <f t="shared" si="10"/>
        <v>35000</v>
      </c>
      <c r="D50" s="67">
        <v>35000</v>
      </c>
      <c r="E50" s="67">
        <f t="shared" si="11"/>
        <v>0</v>
      </c>
      <c r="F50" s="67"/>
      <c r="G50" s="67"/>
      <c r="H50" s="67"/>
      <c r="I50" s="67"/>
      <c r="J50" s="67"/>
      <c r="K50" s="67">
        <f t="shared" si="8"/>
        <v>0</v>
      </c>
      <c r="L50" s="67"/>
      <c r="M50" s="67"/>
      <c r="N50" s="67">
        <f t="shared" si="13"/>
        <v>4943.2258460000003</v>
      </c>
      <c r="O50" s="67">
        <v>4943.2258460000003</v>
      </c>
      <c r="P50" s="68">
        <f t="shared" si="12"/>
        <v>0</v>
      </c>
      <c r="Q50" s="67"/>
      <c r="R50" s="67"/>
      <c r="S50" s="67"/>
      <c r="T50" s="67"/>
      <c r="U50" s="67">
        <f t="shared" si="15"/>
        <v>0</v>
      </c>
      <c r="V50" s="67"/>
      <c r="W50" s="67"/>
      <c r="X50" s="67"/>
      <c r="Y50" s="67"/>
      <c r="Z50" s="67"/>
      <c r="AA50" s="67"/>
      <c r="AB50" s="67">
        <f t="shared" si="14"/>
        <v>14.123502417142857</v>
      </c>
      <c r="AC50" s="67"/>
      <c r="AD50" s="67"/>
      <c r="AE50" s="67"/>
    </row>
    <row r="51" spans="1:31" s="16" customFormat="1" ht="34.5" customHeight="1" x14ac:dyDescent="0.25">
      <c r="A51" s="65" t="s">
        <v>326</v>
      </c>
      <c r="B51" s="72" t="s">
        <v>580</v>
      </c>
      <c r="C51" s="67">
        <f t="shared" si="10"/>
        <v>83042.233999999997</v>
      </c>
      <c r="D51" s="67">
        <v>83042.233999999997</v>
      </c>
      <c r="E51" s="67">
        <f t="shared" si="11"/>
        <v>0</v>
      </c>
      <c r="F51" s="67"/>
      <c r="G51" s="67"/>
      <c r="H51" s="67"/>
      <c r="I51" s="67"/>
      <c r="J51" s="67"/>
      <c r="K51" s="67">
        <f t="shared" si="8"/>
        <v>0</v>
      </c>
      <c r="L51" s="67"/>
      <c r="M51" s="67"/>
      <c r="N51" s="67">
        <f t="shared" si="13"/>
        <v>105494.548758</v>
      </c>
      <c r="O51" s="67">
        <v>105494.548758</v>
      </c>
      <c r="P51" s="68">
        <f t="shared" si="12"/>
        <v>0</v>
      </c>
      <c r="Q51" s="67"/>
      <c r="R51" s="67"/>
      <c r="S51" s="67"/>
      <c r="T51" s="67"/>
      <c r="U51" s="67">
        <f t="shared" si="15"/>
        <v>0</v>
      </c>
      <c r="V51" s="67"/>
      <c r="W51" s="67"/>
      <c r="X51" s="67"/>
      <c r="Y51" s="67"/>
      <c r="Z51" s="67"/>
      <c r="AA51" s="67"/>
      <c r="AB51" s="67">
        <f t="shared" si="14"/>
        <v>127.03722392391323</v>
      </c>
      <c r="AC51" s="67"/>
      <c r="AD51" s="67"/>
      <c r="AE51" s="67"/>
    </row>
    <row r="52" spans="1:31" s="16" customFormat="1" ht="24.75" customHeight="1" x14ac:dyDescent="0.25">
      <c r="A52" s="70" t="s">
        <v>328</v>
      </c>
      <c r="B52" s="72" t="s">
        <v>599</v>
      </c>
      <c r="C52" s="67">
        <f t="shared" si="10"/>
        <v>15000</v>
      </c>
      <c r="D52" s="67">
        <v>15000</v>
      </c>
      <c r="E52" s="67">
        <f t="shared" si="11"/>
        <v>0</v>
      </c>
      <c r="F52" s="67"/>
      <c r="G52" s="67"/>
      <c r="H52" s="67"/>
      <c r="I52" s="67"/>
      <c r="J52" s="67"/>
      <c r="K52" s="67">
        <f t="shared" si="8"/>
        <v>0</v>
      </c>
      <c r="L52" s="67"/>
      <c r="M52" s="67"/>
      <c r="N52" s="67">
        <f t="shared" si="13"/>
        <v>8673.1779999999999</v>
      </c>
      <c r="O52" s="67">
        <v>8673.1779999999999</v>
      </c>
      <c r="P52" s="68">
        <f t="shared" si="12"/>
        <v>0</v>
      </c>
      <c r="Q52" s="67"/>
      <c r="R52" s="67"/>
      <c r="S52" s="67"/>
      <c r="T52" s="67"/>
      <c r="U52" s="67">
        <f t="shared" si="15"/>
        <v>0</v>
      </c>
      <c r="V52" s="67"/>
      <c r="W52" s="67"/>
      <c r="X52" s="67"/>
      <c r="Y52" s="67"/>
      <c r="Z52" s="67"/>
      <c r="AA52" s="67"/>
      <c r="AB52" s="67">
        <f t="shared" si="14"/>
        <v>57.821186666666669</v>
      </c>
      <c r="AC52" s="67"/>
      <c r="AD52" s="67"/>
      <c r="AE52" s="67"/>
    </row>
    <row r="53" spans="1:31" s="16" customFormat="1" ht="39.75" customHeight="1" x14ac:dyDescent="0.25">
      <c r="A53" s="65" t="s">
        <v>330</v>
      </c>
      <c r="B53" s="72" t="s">
        <v>581</v>
      </c>
      <c r="C53" s="67">
        <f t="shared" si="10"/>
        <v>1038.0319999999999</v>
      </c>
      <c r="D53" s="67">
        <v>1038.0319999999999</v>
      </c>
      <c r="E53" s="67">
        <f t="shared" si="11"/>
        <v>0</v>
      </c>
      <c r="F53" s="67"/>
      <c r="G53" s="67"/>
      <c r="H53" s="67"/>
      <c r="I53" s="67"/>
      <c r="J53" s="67"/>
      <c r="K53" s="67">
        <f t="shared" si="8"/>
        <v>0</v>
      </c>
      <c r="L53" s="67"/>
      <c r="M53" s="67"/>
      <c r="N53" s="67">
        <f t="shared" si="13"/>
        <v>1071.17</v>
      </c>
      <c r="O53" s="67">
        <v>1071.17</v>
      </c>
      <c r="P53" s="68">
        <f t="shared" si="12"/>
        <v>0</v>
      </c>
      <c r="Q53" s="67"/>
      <c r="R53" s="67"/>
      <c r="S53" s="67"/>
      <c r="T53" s="67"/>
      <c r="U53" s="67">
        <f t="shared" si="15"/>
        <v>0</v>
      </c>
      <c r="V53" s="67"/>
      <c r="W53" s="67"/>
      <c r="X53" s="67"/>
      <c r="Y53" s="67"/>
      <c r="Z53" s="67"/>
      <c r="AA53" s="67"/>
      <c r="AB53" s="67">
        <f t="shared" si="14"/>
        <v>103.19238713257396</v>
      </c>
      <c r="AC53" s="67"/>
      <c r="AD53" s="67"/>
      <c r="AE53" s="67"/>
    </row>
    <row r="54" spans="1:31" s="16" customFormat="1" ht="29.25" customHeight="1" x14ac:dyDescent="0.25">
      <c r="A54" s="70" t="s">
        <v>332</v>
      </c>
      <c r="B54" s="72" t="s">
        <v>663</v>
      </c>
      <c r="C54" s="67">
        <f>D54+E54+I54+J54+K54</f>
        <v>0</v>
      </c>
      <c r="D54" s="67"/>
      <c r="E54" s="67">
        <f>F54+G54+H54</f>
        <v>0</v>
      </c>
      <c r="F54" s="67"/>
      <c r="G54" s="67"/>
      <c r="H54" s="67"/>
      <c r="I54" s="67"/>
      <c r="J54" s="67"/>
      <c r="K54" s="67">
        <f>L54+M54</f>
        <v>0</v>
      </c>
      <c r="L54" s="67"/>
      <c r="M54" s="67"/>
      <c r="N54" s="67">
        <f>O54+P54+S54+T54+U54</f>
        <v>8.7799999999999994</v>
      </c>
      <c r="O54" s="67"/>
      <c r="P54" s="68">
        <f t="shared" si="12"/>
        <v>8.7799999999999994</v>
      </c>
      <c r="Q54" s="67">
        <v>8.7799999999999994</v>
      </c>
      <c r="R54" s="67"/>
      <c r="S54" s="67"/>
      <c r="T54" s="67"/>
      <c r="U54" s="67">
        <f>V54+W54</f>
        <v>0</v>
      </c>
      <c r="V54" s="67"/>
      <c r="W54" s="67"/>
      <c r="X54" s="67"/>
      <c r="Y54" s="67"/>
      <c r="Z54" s="67"/>
      <c r="AA54" s="67"/>
      <c r="AB54" s="67"/>
      <c r="AC54" s="67"/>
      <c r="AD54" s="67"/>
      <c r="AE54" s="67"/>
    </row>
    <row r="55" spans="1:31" s="16" customFormat="1" ht="32.25" customHeight="1" x14ac:dyDescent="0.25">
      <c r="A55" s="65" t="s">
        <v>334</v>
      </c>
      <c r="B55" s="66" t="s">
        <v>526</v>
      </c>
      <c r="C55" s="67">
        <f t="shared" si="10"/>
        <v>703</v>
      </c>
      <c r="D55" s="67"/>
      <c r="E55" s="67">
        <f t="shared" si="11"/>
        <v>703</v>
      </c>
      <c r="F55" s="67">
        <v>703</v>
      </c>
      <c r="G55" s="67"/>
      <c r="H55" s="67"/>
      <c r="I55" s="67"/>
      <c r="J55" s="67"/>
      <c r="K55" s="67">
        <f t="shared" si="8"/>
        <v>0</v>
      </c>
      <c r="L55" s="67"/>
      <c r="M55" s="67"/>
      <c r="N55" s="67">
        <f t="shared" si="13"/>
        <v>703.9</v>
      </c>
      <c r="O55" s="67"/>
      <c r="P55" s="68">
        <f t="shared" si="12"/>
        <v>703.9</v>
      </c>
      <c r="Q55" s="67">
        <v>703.9</v>
      </c>
      <c r="R55" s="67"/>
      <c r="S55" s="67"/>
      <c r="T55" s="67"/>
      <c r="U55" s="67">
        <f t="shared" si="15"/>
        <v>0</v>
      </c>
      <c r="V55" s="67"/>
      <c r="W55" s="67"/>
      <c r="X55" s="67"/>
      <c r="Y55" s="67"/>
      <c r="Z55" s="67"/>
      <c r="AA55" s="67"/>
      <c r="AB55" s="67">
        <f t="shared" si="14"/>
        <v>100.12802275960171</v>
      </c>
      <c r="AC55" s="67"/>
      <c r="AD55" s="67">
        <f t="shared" si="3"/>
        <v>100.12802275960171</v>
      </c>
      <c r="AE55" s="67"/>
    </row>
    <row r="56" spans="1:31" s="16" customFormat="1" ht="24.75" customHeight="1" x14ac:dyDescent="0.25">
      <c r="A56" s="70" t="s">
        <v>336</v>
      </c>
      <c r="B56" s="66" t="s">
        <v>582</v>
      </c>
      <c r="C56" s="67">
        <f t="shared" si="10"/>
        <v>436</v>
      </c>
      <c r="D56" s="67"/>
      <c r="E56" s="67">
        <f t="shared" si="11"/>
        <v>436</v>
      </c>
      <c r="F56" s="67">
        <v>436</v>
      </c>
      <c r="G56" s="67"/>
      <c r="H56" s="67"/>
      <c r="I56" s="67"/>
      <c r="J56" s="67"/>
      <c r="K56" s="67">
        <f t="shared" si="8"/>
        <v>0</v>
      </c>
      <c r="L56" s="67"/>
      <c r="M56" s="67"/>
      <c r="N56" s="67">
        <f t="shared" si="13"/>
        <v>424</v>
      </c>
      <c r="O56" s="67"/>
      <c r="P56" s="68">
        <f t="shared" si="12"/>
        <v>424</v>
      </c>
      <c r="Q56" s="67">
        <v>424</v>
      </c>
      <c r="R56" s="67"/>
      <c r="S56" s="67"/>
      <c r="T56" s="67"/>
      <c r="U56" s="67">
        <f t="shared" si="15"/>
        <v>0</v>
      </c>
      <c r="V56" s="67"/>
      <c r="W56" s="67"/>
      <c r="X56" s="67"/>
      <c r="Y56" s="67"/>
      <c r="Z56" s="67"/>
      <c r="AA56" s="67"/>
      <c r="AB56" s="67">
        <f t="shared" si="14"/>
        <v>97.247706422018339</v>
      </c>
      <c r="AC56" s="67"/>
      <c r="AD56" s="67">
        <f t="shared" si="3"/>
        <v>97.247706422018339</v>
      </c>
      <c r="AE56" s="67"/>
    </row>
    <row r="57" spans="1:31" s="114" customFormat="1" ht="32.25" customHeight="1" x14ac:dyDescent="0.25">
      <c r="A57" s="65" t="s">
        <v>338</v>
      </c>
      <c r="B57" s="72" t="s">
        <v>583</v>
      </c>
      <c r="C57" s="67">
        <f t="shared" si="10"/>
        <v>455</v>
      </c>
      <c r="D57" s="67"/>
      <c r="E57" s="67">
        <f t="shared" si="11"/>
        <v>455</v>
      </c>
      <c r="F57" s="67">
        <v>455</v>
      </c>
      <c r="G57" s="67"/>
      <c r="H57" s="67"/>
      <c r="I57" s="67"/>
      <c r="J57" s="67"/>
      <c r="K57" s="67">
        <f t="shared" si="8"/>
        <v>0</v>
      </c>
      <c r="L57" s="67"/>
      <c r="M57" s="67"/>
      <c r="N57" s="67">
        <f t="shared" si="13"/>
        <v>427</v>
      </c>
      <c r="O57" s="67"/>
      <c r="P57" s="68">
        <f t="shared" si="12"/>
        <v>427</v>
      </c>
      <c r="Q57" s="67">
        <v>427</v>
      </c>
      <c r="R57" s="67"/>
      <c r="S57" s="67"/>
      <c r="T57" s="67"/>
      <c r="U57" s="67">
        <f t="shared" si="15"/>
        <v>0</v>
      </c>
      <c r="V57" s="67"/>
      <c r="W57" s="67"/>
      <c r="X57" s="67"/>
      <c r="Y57" s="67"/>
      <c r="Z57" s="67"/>
      <c r="AA57" s="67"/>
      <c r="AB57" s="67">
        <f t="shared" si="14"/>
        <v>93.846153846153854</v>
      </c>
      <c r="AC57" s="67"/>
      <c r="AD57" s="67">
        <f t="shared" si="3"/>
        <v>93.846153846153854</v>
      </c>
      <c r="AE57" s="67"/>
    </row>
    <row r="58" spans="1:31" s="16" customFormat="1" ht="19.5" customHeight="1" x14ac:dyDescent="0.25">
      <c r="A58" s="70" t="s">
        <v>389</v>
      </c>
      <c r="B58" s="72" t="s">
        <v>321</v>
      </c>
      <c r="C58" s="67">
        <f t="shared" si="10"/>
        <v>456</v>
      </c>
      <c r="D58" s="67"/>
      <c r="E58" s="67">
        <f t="shared" si="11"/>
        <v>456</v>
      </c>
      <c r="F58" s="67">
        <v>456</v>
      </c>
      <c r="G58" s="67"/>
      <c r="H58" s="67"/>
      <c r="I58" s="67"/>
      <c r="J58" s="67"/>
      <c r="K58" s="67">
        <f t="shared" si="8"/>
        <v>0</v>
      </c>
      <c r="L58" s="67"/>
      <c r="M58" s="67"/>
      <c r="N58" s="67">
        <f t="shared" si="13"/>
        <v>469.3</v>
      </c>
      <c r="O58" s="67"/>
      <c r="P58" s="68">
        <f t="shared" si="12"/>
        <v>469.3</v>
      </c>
      <c r="Q58" s="67">
        <v>469.3</v>
      </c>
      <c r="R58" s="67"/>
      <c r="S58" s="67"/>
      <c r="T58" s="67"/>
      <c r="U58" s="67">
        <f t="shared" si="15"/>
        <v>0</v>
      </c>
      <c r="V58" s="67"/>
      <c r="W58" s="67"/>
      <c r="X58" s="67"/>
      <c r="Y58" s="67"/>
      <c r="Z58" s="67"/>
      <c r="AA58" s="67"/>
      <c r="AB58" s="67">
        <f t="shared" si="14"/>
        <v>102.91666666666667</v>
      </c>
      <c r="AC58" s="67"/>
      <c r="AD58" s="67">
        <f t="shared" si="3"/>
        <v>102.91666666666667</v>
      </c>
      <c r="AE58" s="67"/>
    </row>
    <row r="59" spans="1:31" s="16" customFormat="1" ht="24.75" customHeight="1" x14ac:dyDescent="0.25">
      <c r="A59" s="65" t="s">
        <v>390</v>
      </c>
      <c r="B59" s="72" t="s">
        <v>323</v>
      </c>
      <c r="C59" s="67">
        <f t="shared" si="10"/>
        <v>90</v>
      </c>
      <c r="D59" s="67"/>
      <c r="E59" s="67">
        <f t="shared" si="11"/>
        <v>90</v>
      </c>
      <c r="F59" s="67">
        <v>90</v>
      </c>
      <c r="G59" s="67"/>
      <c r="H59" s="67"/>
      <c r="I59" s="67"/>
      <c r="J59" s="67"/>
      <c r="K59" s="67">
        <f t="shared" si="8"/>
        <v>0</v>
      </c>
      <c r="L59" s="67"/>
      <c r="M59" s="67"/>
      <c r="N59" s="67">
        <f t="shared" si="13"/>
        <v>197.5</v>
      </c>
      <c r="O59" s="67"/>
      <c r="P59" s="68">
        <f t="shared" si="12"/>
        <v>197.5</v>
      </c>
      <c r="Q59" s="67">
        <v>197.5</v>
      </c>
      <c r="R59" s="67"/>
      <c r="S59" s="67"/>
      <c r="T59" s="67"/>
      <c r="U59" s="67">
        <f t="shared" si="15"/>
        <v>0</v>
      </c>
      <c r="V59" s="67"/>
      <c r="W59" s="67"/>
      <c r="X59" s="67"/>
      <c r="Y59" s="67"/>
      <c r="Z59" s="67"/>
      <c r="AA59" s="67"/>
      <c r="AB59" s="67">
        <f t="shared" si="14"/>
        <v>219.44444444444443</v>
      </c>
      <c r="AC59" s="67"/>
      <c r="AD59" s="67">
        <f t="shared" si="3"/>
        <v>219.44444444444443</v>
      </c>
      <c r="AE59" s="67"/>
    </row>
    <row r="60" spans="1:31" s="16" customFormat="1" ht="24.75" customHeight="1" x14ac:dyDescent="0.25">
      <c r="A60" s="70" t="s">
        <v>549</v>
      </c>
      <c r="B60" s="75" t="s">
        <v>325</v>
      </c>
      <c r="C60" s="67">
        <f t="shared" si="10"/>
        <v>1242</v>
      </c>
      <c r="D60" s="67"/>
      <c r="E60" s="67">
        <f t="shared" si="11"/>
        <v>1242</v>
      </c>
      <c r="F60" s="67">
        <v>1082</v>
      </c>
      <c r="G60" s="67"/>
      <c r="H60" s="67">
        <v>160</v>
      </c>
      <c r="I60" s="67"/>
      <c r="J60" s="67"/>
      <c r="K60" s="67">
        <f t="shared" si="8"/>
        <v>0</v>
      </c>
      <c r="L60" s="67"/>
      <c r="M60" s="67"/>
      <c r="N60" s="67">
        <f t="shared" si="13"/>
        <v>1196</v>
      </c>
      <c r="O60" s="67"/>
      <c r="P60" s="68">
        <f t="shared" si="12"/>
        <v>1196</v>
      </c>
      <c r="Q60" s="67">
        <v>1196</v>
      </c>
      <c r="R60" s="67"/>
      <c r="S60" s="67"/>
      <c r="T60" s="67"/>
      <c r="U60" s="67">
        <f t="shared" si="15"/>
        <v>0</v>
      </c>
      <c r="V60" s="67"/>
      <c r="W60" s="67"/>
      <c r="X60" s="67"/>
      <c r="Y60" s="67"/>
      <c r="Z60" s="67"/>
      <c r="AA60" s="67"/>
      <c r="AB60" s="67">
        <f t="shared" si="14"/>
        <v>96.296296296296291</v>
      </c>
      <c r="AC60" s="67"/>
      <c r="AD60" s="67">
        <f t="shared" si="3"/>
        <v>96.296296296296291</v>
      </c>
      <c r="AE60" s="67"/>
    </row>
    <row r="61" spans="1:31" s="16" customFormat="1" ht="24.75" customHeight="1" x14ac:dyDescent="0.25">
      <c r="A61" s="65" t="s">
        <v>391</v>
      </c>
      <c r="B61" s="75" t="s">
        <v>584</v>
      </c>
      <c r="C61" s="67">
        <f t="shared" si="10"/>
        <v>2108</v>
      </c>
      <c r="D61" s="67"/>
      <c r="E61" s="67">
        <f t="shared" si="11"/>
        <v>2108</v>
      </c>
      <c r="F61" s="67">
        <v>2108</v>
      </c>
      <c r="G61" s="67"/>
      <c r="H61" s="67"/>
      <c r="I61" s="67"/>
      <c r="J61" s="67"/>
      <c r="K61" s="67">
        <f t="shared" si="8"/>
        <v>0</v>
      </c>
      <c r="L61" s="67"/>
      <c r="M61" s="67"/>
      <c r="N61" s="67">
        <f t="shared" si="13"/>
        <v>2157</v>
      </c>
      <c r="O61" s="67"/>
      <c r="P61" s="68">
        <f t="shared" si="12"/>
        <v>2157</v>
      </c>
      <c r="Q61" s="67">
        <v>2157</v>
      </c>
      <c r="R61" s="67"/>
      <c r="S61" s="67"/>
      <c r="T61" s="67"/>
      <c r="U61" s="67">
        <f t="shared" si="15"/>
        <v>0</v>
      </c>
      <c r="V61" s="67"/>
      <c r="W61" s="67"/>
      <c r="X61" s="67"/>
      <c r="Y61" s="67"/>
      <c r="Z61" s="67"/>
      <c r="AA61" s="67"/>
      <c r="AB61" s="67">
        <f t="shared" si="14"/>
        <v>102.32447817836812</v>
      </c>
      <c r="AC61" s="67"/>
      <c r="AD61" s="67">
        <f t="shared" si="3"/>
        <v>102.32447817836812</v>
      </c>
      <c r="AE61" s="67"/>
    </row>
    <row r="62" spans="1:31" s="16" customFormat="1" ht="24.75" customHeight="1" x14ac:dyDescent="0.25">
      <c r="A62" s="70" t="s">
        <v>392</v>
      </c>
      <c r="B62" s="75" t="s">
        <v>329</v>
      </c>
      <c r="C62" s="67">
        <f t="shared" si="10"/>
        <v>351</v>
      </c>
      <c r="D62" s="67"/>
      <c r="E62" s="67">
        <f t="shared" si="11"/>
        <v>351</v>
      </c>
      <c r="F62" s="67">
        <v>351</v>
      </c>
      <c r="G62" s="67"/>
      <c r="H62" s="67"/>
      <c r="I62" s="67"/>
      <c r="J62" s="67"/>
      <c r="K62" s="67">
        <f t="shared" si="8"/>
        <v>0</v>
      </c>
      <c r="L62" s="67"/>
      <c r="M62" s="67"/>
      <c r="N62" s="67">
        <f t="shared" si="13"/>
        <v>337</v>
      </c>
      <c r="O62" s="67"/>
      <c r="P62" s="68">
        <f t="shared" si="12"/>
        <v>337</v>
      </c>
      <c r="Q62" s="67">
        <v>337</v>
      </c>
      <c r="R62" s="67"/>
      <c r="S62" s="67"/>
      <c r="T62" s="67"/>
      <c r="U62" s="67">
        <f t="shared" si="15"/>
        <v>0</v>
      </c>
      <c r="V62" s="67"/>
      <c r="W62" s="67"/>
      <c r="X62" s="67"/>
      <c r="Y62" s="67"/>
      <c r="Z62" s="67"/>
      <c r="AA62" s="67"/>
      <c r="AB62" s="67">
        <f t="shared" si="14"/>
        <v>96.011396011396016</v>
      </c>
      <c r="AC62" s="67"/>
      <c r="AD62" s="67">
        <f t="shared" si="3"/>
        <v>96.011396011396016</v>
      </c>
      <c r="AE62" s="67"/>
    </row>
    <row r="63" spans="1:31" s="16" customFormat="1" ht="20.25" customHeight="1" x14ac:dyDescent="0.25">
      <c r="A63" s="65" t="s">
        <v>393</v>
      </c>
      <c r="B63" s="75" t="s">
        <v>331</v>
      </c>
      <c r="C63" s="67">
        <f t="shared" si="10"/>
        <v>1527</v>
      </c>
      <c r="D63" s="67"/>
      <c r="E63" s="67">
        <f t="shared" si="11"/>
        <v>1527</v>
      </c>
      <c r="F63" s="67">
        <v>1094</v>
      </c>
      <c r="G63" s="67"/>
      <c r="H63" s="67">
        <v>433</v>
      </c>
      <c r="I63" s="67"/>
      <c r="J63" s="67"/>
      <c r="K63" s="67">
        <f t="shared" si="8"/>
        <v>0</v>
      </c>
      <c r="L63" s="67"/>
      <c r="M63" s="67"/>
      <c r="N63" s="67">
        <f t="shared" si="13"/>
        <v>1817.2511360000001</v>
      </c>
      <c r="O63" s="67"/>
      <c r="P63" s="68">
        <f t="shared" si="12"/>
        <v>1817.2511360000001</v>
      </c>
      <c r="Q63" s="67">
        <v>1817.2511360000001</v>
      </c>
      <c r="R63" s="67"/>
      <c r="S63" s="67"/>
      <c r="T63" s="67"/>
      <c r="U63" s="67">
        <f t="shared" si="15"/>
        <v>0</v>
      </c>
      <c r="V63" s="67"/>
      <c r="W63" s="67"/>
      <c r="X63" s="67"/>
      <c r="Y63" s="67"/>
      <c r="Z63" s="67"/>
      <c r="AA63" s="67"/>
      <c r="AB63" s="67">
        <f t="shared" si="14"/>
        <v>119.00793294040604</v>
      </c>
      <c r="AC63" s="67"/>
      <c r="AD63" s="67">
        <f t="shared" si="3"/>
        <v>119.00793294040604</v>
      </c>
      <c r="AE63" s="67"/>
    </row>
    <row r="64" spans="1:31" s="16" customFormat="1" ht="32.25" customHeight="1" x14ac:dyDescent="0.25">
      <c r="A64" s="70" t="s">
        <v>394</v>
      </c>
      <c r="B64" s="76" t="s">
        <v>664</v>
      </c>
      <c r="C64" s="67">
        <f t="shared" si="10"/>
        <v>296</v>
      </c>
      <c r="D64" s="67"/>
      <c r="E64" s="67">
        <f t="shared" si="11"/>
        <v>296</v>
      </c>
      <c r="F64" s="67">
        <f>212+84</f>
        <v>296</v>
      </c>
      <c r="G64" s="67"/>
      <c r="H64" s="67"/>
      <c r="I64" s="67"/>
      <c r="J64" s="67"/>
      <c r="K64" s="67">
        <f t="shared" si="8"/>
        <v>0</v>
      </c>
      <c r="L64" s="67"/>
      <c r="M64" s="67"/>
      <c r="N64" s="67">
        <f t="shared" si="13"/>
        <v>102.21855600000001</v>
      </c>
      <c r="O64" s="67"/>
      <c r="P64" s="68">
        <f t="shared" si="12"/>
        <v>102.21855600000001</v>
      </c>
      <c r="Q64" s="67">
        <v>102.21855600000001</v>
      </c>
      <c r="R64" s="67"/>
      <c r="S64" s="67"/>
      <c r="T64" s="67"/>
      <c r="U64" s="67">
        <f t="shared" si="15"/>
        <v>0</v>
      </c>
      <c r="V64" s="67"/>
      <c r="W64" s="67"/>
      <c r="X64" s="67"/>
      <c r="Y64" s="67"/>
      <c r="Z64" s="67"/>
      <c r="AA64" s="67"/>
      <c r="AB64" s="67">
        <f t="shared" si="14"/>
        <v>34.533295945945952</v>
      </c>
      <c r="AC64" s="67"/>
      <c r="AD64" s="67">
        <f t="shared" si="3"/>
        <v>34.533295945945952</v>
      </c>
      <c r="AE64" s="67"/>
    </row>
    <row r="65" spans="1:31" s="16" customFormat="1" ht="17.25" customHeight="1" x14ac:dyDescent="0.25">
      <c r="A65" s="65" t="s">
        <v>395</v>
      </c>
      <c r="B65" s="75" t="s">
        <v>665</v>
      </c>
      <c r="C65" s="67">
        <f t="shared" si="10"/>
        <v>0</v>
      </c>
      <c r="D65" s="67"/>
      <c r="E65" s="67">
        <f t="shared" si="11"/>
        <v>0</v>
      </c>
      <c r="F65" s="67"/>
      <c r="G65" s="67"/>
      <c r="H65" s="67"/>
      <c r="I65" s="67"/>
      <c r="J65" s="67"/>
      <c r="K65" s="67">
        <f t="shared" si="8"/>
        <v>0</v>
      </c>
      <c r="L65" s="67"/>
      <c r="M65" s="67"/>
      <c r="N65" s="67">
        <f t="shared" si="13"/>
        <v>13</v>
      </c>
      <c r="O65" s="67"/>
      <c r="P65" s="68">
        <f t="shared" si="12"/>
        <v>13</v>
      </c>
      <c r="Q65" s="67">
        <v>13</v>
      </c>
      <c r="R65" s="67"/>
      <c r="S65" s="67"/>
      <c r="T65" s="67"/>
      <c r="U65" s="67">
        <f t="shared" si="15"/>
        <v>0</v>
      </c>
      <c r="V65" s="67"/>
      <c r="W65" s="67"/>
      <c r="X65" s="67"/>
      <c r="Y65" s="67"/>
      <c r="Z65" s="67"/>
      <c r="AA65" s="67"/>
      <c r="AB65" s="67"/>
      <c r="AC65" s="67"/>
      <c r="AD65" s="67"/>
      <c r="AE65" s="67"/>
    </row>
    <row r="66" spans="1:31" s="16" customFormat="1" ht="24.75" customHeight="1" x14ac:dyDescent="0.25">
      <c r="A66" s="70" t="s">
        <v>396</v>
      </c>
      <c r="B66" s="76" t="s">
        <v>335</v>
      </c>
      <c r="C66" s="67">
        <f t="shared" si="10"/>
        <v>96</v>
      </c>
      <c r="D66" s="67"/>
      <c r="E66" s="67">
        <f t="shared" si="11"/>
        <v>96</v>
      </c>
      <c r="F66" s="67">
        <v>96</v>
      </c>
      <c r="G66" s="67"/>
      <c r="H66" s="67"/>
      <c r="I66" s="67"/>
      <c r="J66" s="67"/>
      <c r="K66" s="67">
        <f t="shared" si="8"/>
        <v>0</v>
      </c>
      <c r="L66" s="67"/>
      <c r="M66" s="67"/>
      <c r="N66" s="67">
        <f t="shared" si="13"/>
        <v>54.065199</v>
      </c>
      <c r="O66" s="67"/>
      <c r="P66" s="68">
        <f t="shared" si="12"/>
        <v>54.065199</v>
      </c>
      <c r="Q66" s="67">
        <v>54.065199</v>
      </c>
      <c r="R66" s="67"/>
      <c r="S66" s="67"/>
      <c r="T66" s="67"/>
      <c r="U66" s="67">
        <f t="shared" si="15"/>
        <v>0</v>
      </c>
      <c r="V66" s="67"/>
      <c r="W66" s="67"/>
      <c r="X66" s="67"/>
      <c r="Y66" s="67"/>
      <c r="Z66" s="67"/>
      <c r="AA66" s="67"/>
      <c r="AB66" s="67">
        <f t="shared" si="14"/>
        <v>56.317915625000005</v>
      </c>
      <c r="AC66" s="67"/>
      <c r="AD66" s="67"/>
      <c r="AE66" s="67"/>
    </row>
    <row r="67" spans="1:31" s="16" customFormat="1" ht="18" customHeight="1" x14ac:dyDescent="0.25">
      <c r="A67" s="65" t="s">
        <v>397</v>
      </c>
      <c r="B67" s="77" t="s">
        <v>337</v>
      </c>
      <c r="C67" s="67">
        <f t="shared" si="10"/>
        <v>210</v>
      </c>
      <c r="D67" s="67"/>
      <c r="E67" s="67">
        <f t="shared" si="11"/>
        <v>210</v>
      </c>
      <c r="F67" s="67">
        <v>210</v>
      </c>
      <c r="G67" s="67"/>
      <c r="H67" s="67"/>
      <c r="I67" s="67"/>
      <c r="J67" s="67"/>
      <c r="K67" s="67">
        <f t="shared" si="8"/>
        <v>0</v>
      </c>
      <c r="L67" s="67"/>
      <c r="M67" s="67"/>
      <c r="N67" s="67">
        <f t="shared" si="13"/>
        <v>207</v>
      </c>
      <c r="O67" s="67"/>
      <c r="P67" s="68">
        <f t="shared" si="12"/>
        <v>207</v>
      </c>
      <c r="Q67" s="67">
        <v>207</v>
      </c>
      <c r="R67" s="67"/>
      <c r="S67" s="67"/>
      <c r="T67" s="67"/>
      <c r="U67" s="67">
        <f t="shared" si="15"/>
        <v>0</v>
      </c>
      <c r="V67" s="67"/>
      <c r="W67" s="67"/>
      <c r="X67" s="67"/>
      <c r="Y67" s="67"/>
      <c r="Z67" s="67"/>
      <c r="AA67" s="67"/>
      <c r="AB67" s="67">
        <f t="shared" si="14"/>
        <v>98.571428571428569</v>
      </c>
      <c r="AC67" s="67"/>
      <c r="AD67" s="67">
        <f t="shared" si="3"/>
        <v>98.571428571428569</v>
      </c>
      <c r="AE67" s="67"/>
    </row>
    <row r="68" spans="1:31" s="16" customFormat="1" ht="16.5" customHeight="1" x14ac:dyDescent="0.25">
      <c r="A68" s="70" t="s">
        <v>398</v>
      </c>
      <c r="B68" s="78" t="s">
        <v>339</v>
      </c>
      <c r="C68" s="67">
        <f t="shared" si="10"/>
        <v>2398</v>
      </c>
      <c r="D68" s="67"/>
      <c r="E68" s="67">
        <f t="shared" si="11"/>
        <v>2398</v>
      </c>
      <c r="F68" s="67">
        <v>2378</v>
      </c>
      <c r="G68" s="67"/>
      <c r="H68" s="67">
        <v>20</v>
      </c>
      <c r="I68" s="67"/>
      <c r="J68" s="67"/>
      <c r="K68" s="67">
        <f t="shared" si="8"/>
        <v>0</v>
      </c>
      <c r="L68" s="67"/>
      <c r="M68" s="67"/>
      <c r="N68" s="67">
        <f t="shared" si="13"/>
        <v>3028</v>
      </c>
      <c r="O68" s="67"/>
      <c r="P68" s="68">
        <f t="shared" si="12"/>
        <v>3028</v>
      </c>
      <c r="Q68" s="67">
        <v>3028</v>
      </c>
      <c r="R68" s="67"/>
      <c r="S68" s="67"/>
      <c r="T68" s="67"/>
      <c r="U68" s="67">
        <f t="shared" si="15"/>
        <v>0</v>
      </c>
      <c r="V68" s="67"/>
      <c r="W68" s="67"/>
      <c r="X68" s="67"/>
      <c r="Y68" s="67"/>
      <c r="Z68" s="67"/>
      <c r="AA68" s="67"/>
      <c r="AB68" s="67">
        <f t="shared" si="14"/>
        <v>126.2718932443703</v>
      </c>
      <c r="AC68" s="67"/>
      <c r="AD68" s="67">
        <f t="shared" si="3"/>
        <v>126.2718932443703</v>
      </c>
      <c r="AE68" s="67"/>
    </row>
    <row r="69" spans="1:31" s="16" customFormat="1" ht="21.75" customHeight="1" x14ac:dyDescent="0.25">
      <c r="A69" s="65" t="s">
        <v>399</v>
      </c>
      <c r="B69" s="77" t="s">
        <v>585</v>
      </c>
      <c r="C69" s="67">
        <f t="shared" si="10"/>
        <v>3194</v>
      </c>
      <c r="D69" s="67"/>
      <c r="E69" s="67">
        <f t="shared" si="11"/>
        <v>1869</v>
      </c>
      <c r="F69" s="67">
        <v>1869</v>
      </c>
      <c r="G69" s="67"/>
      <c r="H69" s="67"/>
      <c r="I69" s="67"/>
      <c r="J69" s="67"/>
      <c r="K69" s="67">
        <f t="shared" si="8"/>
        <v>1325</v>
      </c>
      <c r="L69" s="67">
        <v>779</v>
      </c>
      <c r="M69" s="67">
        <v>546</v>
      </c>
      <c r="N69" s="67">
        <f t="shared" si="13"/>
        <v>2210.6475310000001</v>
      </c>
      <c r="O69" s="67"/>
      <c r="P69" s="68">
        <f t="shared" si="12"/>
        <v>1703.3451889999999</v>
      </c>
      <c r="Q69" s="67">
        <v>1703.3451889999999</v>
      </c>
      <c r="R69" s="67"/>
      <c r="S69" s="67"/>
      <c r="T69" s="67"/>
      <c r="U69" s="67">
        <f t="shared" si="15"/>
        <v>507.30234200000001</v>
      </c>
      <c r="V69" s="67"/>
      <c r="W69" s="67">
        <v>507.30234200000001</v>
      </c>
      <c r="X69" s="67"/>
      <c r="Y69" s="67"/>
      <c r="Z69" s="67"/>
      <c r="AA69" s="67"/>
      <c r="AB69" s="67">
        <f t="shared" si="14"/>
        <v>69.21250879774577</v>
      </c>
      <c r="AC69" s="67"/>
      <c r="AD69" s="67"/>
      <c r="AE69" s="67">
        <f t="shared" si="5"/>
        <v>38.286969207547173</v>
      </c>
    </row>
    <row r="70" spans="1:31" s="16" customFormat="1" ht="24" customHeight="1" x14ac:dyDescent="0.25">
      <c r="A70" s="70" t="s">
        <v>400</v>
      </c>
      <c r="B70" s="75" t="s">
        <v>586</v>
      </c>
      <c r="C70" s="67">
        <f t="shared" si="10"/>
        <v>65</v>
      </c>
      <c r="D70" s="67"/>
      <c r="E70" s="67">
        <f t="shared" si="11"/>
        <v>65</v>
      </c>
      <c r="F70" s="67">
        <v>65</v>
      </c>
      <c r="G70" s="67"/>
      <c r="H70" s="67"/>
      <c r="I70" s="67"/>
      <c r="J70" s="67"/>
      <c r="K70" s="67">
        <f t="shared" si="8"/>
        <v>0</v>
      </c>
      <c r="L70" s="67"/>
      <c r="M70" s="67"/>
      <c r="N70" s="67">
        <f t="shared" si="13"/>
        <v>58</v>
      </c>
      <c r="O70" s="67"/>
      <c r="P70" s="68">
        <f t="shared" si="12"/>
        <v>58</v>
      </c>
      <c r="Q70" s="67">
        <v>58</v>
      </c>
      <c r="R70" s="67"/>
      <c r="S70" s="67"/>
      <c r="T70" s="67"/>
      <c r="U70" s="67">
        <f t="shared" si="15"/>
        <v>0</v>
      </c>
      <c r="V70" s="67"/>
      <c r="W70" s="67"/>
      <c r="X70" s="67"/>
      <c r="Y70" s="67"/>
      <c r="Z70" s="67"/>
      <c r="AA70" s="67"/>
      <c r="AB70" s="67">
        <f t="shared" si="14"/>
        <v>89.230769230769226</v>
      </c>
      <c r="AC70" s="67"/>
      <c r="AD70" s="67">
        <f t="shared" si="3"/>
        <v>89.230769230769226</v>
      </c>
      <c r="AE70" s="67"/>
    </row>
    <row r="71" spans="1:31" s="16" customFormat="1" ht="24.75" customHeight="1" x14ac:dyDescent="0.25">
      <c r="A71" s="65" t="s">
        <v>401</v>
      </c>
      <c r="B71" s="76" t="s">
        <v>666</v>
      </c>
      <c r="C71" s="67">
        <f>D71+E71+I71+J71+K71</f>
        <v>65419</v>
      </c>
      <c r="D71" s="67"/>
      <c r="E71" s="67">
        <f>F71+G71+H71</f>
        <v>0</v>
      </c>
      <c r="F71" s="67"/>
      <c r="G71" s="67"/>
      <c r="H71" s="67"/>
      <c r="I71" s="67"/>
      <c r="J71" s="67"/>
      <c r="K71" s="67">
        <f>L71+M71</f>
        <v>65419</v>
      </c>
      <c r="L71" s="67"/>
      <c r="M71" s="67">
        <v>65419</v>
      </c>
      <c r="N71" s="67">
        <f>O71+P71+S71+T71+U71</f>
        <v>0</v>
      </c>
      <c r="O71" s="67"/>
      <c r="P71" s="68">
        <f t="shared" si="12"/>
        <v>0</v>
      </c>
      <c r="Q71" s="67"/>
      <c r="R71" s="67"/>
      <c r="S71" s="67"/>
      <c r="T71" s="67"/>
      <c r="U71" s="67">
        <f>V71+W71</f>
        <v>0</v>
      </c>
      <c r="V71" s="67"/>
      <c r="W71" s="67"/>
      <c r="X71" s="67"/>
      <c r="Y71" s="67"/>
      <c r="Z71" s="67"/>
      <c r="AA71" s="67"/>
      <c r="AB71" s="67">
        <f>N71/C71%</f>
        <v>0</v>
      </c>
      <c r="AC71" s="67"/>
      <c r="AD71" s="67"/>
      <c r="AE71" s="67">
        <f t="shared" si="5"/>
        <v>0</v>
      </c>
    </row>
    <row r="72" spans="1:31" s="16" customFormat="1" ht="23.25" customHeight="1" x14ac:dyDescent="0.25">
      <c r="A72" s="70" t="s">
        <v>402</v>
      </c>
      <c r="B72" s="75" t="s">
        <v>667</v>
      </c>
      <c r="C72" s="67">
        <f t="shared" si="10"/>
        <v>34</v>
      </c>
      <c r="D72" s="67"/>
      <c r="E72" s="67">
        <f t="shared" si="11"/>
        <v>34</v>
      </c>
      <c r="F72" s="67">
        <v>34</v>
      </c>
      <c r="G72" s="67"/>
      <c r="H72" s="67"/>
      <c r="I72" s="67"/>
      <c r="J72" s="67"/>
      <c r="K72" s="67">
        <f t="shared" si="8"/>
        <v>0</v>
      </c>
      <c r="L72" s="67"/>
      <c r="M72" s="67"/>
      <c r="N72" s="67">
        <f t="shared" si="13"/>
        <v>0</v>
      </c>
      <c r="O72" s="67"/>
      <c r="P72" s="68">
        <f t="shared" si="12"/>
        <v>0</v>
      </c>
      <c r="Q72" s="67">
        <v>0</v>
      </c>
      <c r="R72" s="67"/>
      <c r="S72" s="67"/>
      <c r="T72" s="67"/>
      <c r="U72" s="67">
        <f t="shared" si="15"/>
        <v>0</v>
      </c>
      <c r="V72" s="67"/>
      <c r="W72" s="67"/>
      <c r="X72" s="67"/>
      <c r="Y72" s="67"/>
      <c r="Z72" s="67"/>
      <c r="AA72" s="67"/>
      <c r="AB72" s="67">
        <f t="shared" si="14"/>
        <v>0</v>
      </c>
      <c r="AC72" s="67"/>
      <c r="AD72" s="67"/>
      <c r="AE72" s="67"/>
    </row>
    <row r="73" spans="1:31" s="16" customFormat="1" ht="34.5" customHeight="1" x14ac:dyDescent="0.25">
      <c r="A73" s="65" t="s">
        <v>403</v>
      </c>
      <c r="B73" s="75" t="s">
        <v>623</v>
      </c>
      <c r="C73" s="67">
        <f t="shared" si="10"/>
        <v>29</v>
      </c>
      <c r="D73" s="67"/>
      <c r="E73" s="67">
        <f t="shared" si="11"/>
        <v>0</v>
      </c>
      <c r="F73" s="67"/>
      <c r="G73" s="67"/>
      <c r="H73" s="67"/>
      <c r="I73" s="67"/>
      <c r="J73" s="67"/>
      <c r="K73" s="67">
        <f t="shared" si="8"/>
        <v>29</v>
      </c>
      <c r="L73" s="67">
        <v>0</v>
      </c>
      <c r="M73" s="67">
        <v>29</v>
      </c>
      <c r="N73" s="67">
        <f t="shared" si="13"/>
        <v>0</v>
      </c>
      <c r="O73" s="67"/>
      <c r="P73" s="68">
        <f t="shared" si="12"/>
        <v>0</v>
      </c>
      <c r="Q73" s="67"/>
      <c r="R73" s="67"/>
      <c r="S73" s="67"/>
      <c r="T73" s="67"/>
      <c r="U73" s="67">
        <f t="shared" si="15"/>
        <v>0</v>
      </c>
      <c r="V73" s="67"/>
      <c r="W73" s="67"/>
      <c r="X73" s="67"/>
      <c r="Y73" s="67"/>
      <c r="Z73" s="67"/>
      <c r="AA73" s="67"/>
      <c r="AB73" s="67">
        <f t="shared" si="14"/>
        <v>0</v>
      </c>
      <c r="AC73" s="67"/>
      <c r="AD73" s="67"/>
      <c r="AE73" s="67">
        <f t="shared" si="5"/>
        <v>0</v>
      </c>
    </row>
    <row r="74" spans="1:31" s="16" customFormat="1" ht="18.75" customHeight="1" x14ac:dyDescent="0.25">
      <c r="A74" s="70" t="s">
        <v>404</v>
      </c>
      <c r="B74" s="75" t="s">
        <v>343</v>
      </c>
      <c r="C74" s="67">
        <f t="shared" si="10"/>
        <v>200</v>
      </c>
      <c r="D74" s="67"/>
      <c r="E74" s="67">
        <f t="shared" si="11"/>
        <v>200</v>
      </c>
      <c r="F74" s="67">
        <v>200</v>
      </c>
      <c r="G74" s="67"/>
      <c r="H74" s="67"/>
      <c r="I74" s="67"/>
      <c r="J74" s="67"/>
      <c r="K74" s="67">
        <f t="shared" si="8"/>
        <v>0</v>
      </c>
      <c r="L74" s="67"/>
      <c r="M74" s="67"/>
      <c r="N74" s="67">
        <f t="shared" si="13"/>
        <v>180</v>
      </c>
      <c r="O74" s="67"/>
      <c r="P74" s="68">
        <f t="shared" si="12"/>
        <v>180</v>
      </c>
      <c r="Q74" s="67"/>
      <c r="R74" s="67">
        <v>180</v>
      </c>
      <c r="S74" s="67"/>
      <c r="T74" s="67"/>
      <c r="U74" s="67">
        <f t="shared" si="15"/>
        <v>0</v>
      </c>
      <c r="V74" s="67"/>
      <c r="W74" s="67"/>
      <c r="X74" s="67"/>
      <c r="Y74" s="67"/>
      <c r="Z74" s="67"/>
      <c r="AA74" s="67"/>
      <c r="AB74" s="67">
        <f t="shared" si="14"/>
        <v>90</v>
      </c>
      <c r="AC74" s="67"/>
      <c r="AD74" s="67">
        <f t="shared" ref="AD74:AD107" si="16">P74/E74%</f>
        <v>90</v>
      </c>
      <c r="AE74" s="67"/>
    </row>
    <row r="75" spans="1:31" s="16" customFormat="1" ht="16.5" customHeight="1" x14ac:dyDescent="0.25">
      <c r="A75" s="65" t="s">
        <v>405</v>
      </c>
      <c r="B75" s="75" t="s">
        <v>587</v>
      </c>
      <c r="C75" s="67">
        <f t="shared" si="10"/>
        <v>450</v>
      </c>
      <c r="D75" s="67"/>
      <c r="E75" s="67">
        <f>F75+G75+H75</f>
        <v>450</v>
      </c>
      <c r="F75" s="67">
        <v>450</v>
      </c>
      <c r="G75" s="67"/>
      <c r="H75" s="67"/>
      <c r="I75" s="67"/>
      <c r="J75" s="67"/>
      <c r="K75" s="67">
        <f t="shared" si="8"/>
        <v>0</v>
      </c>
      <c r="L75" s="67"/>
      <c r="M75" s="67"/>
      <c r="N75" s="67">
        <f t="shared" si="13"/>
        <v>405</v>
      </c>
      <c r="O75" s="67"/>
      <c r="P75" s="68">
        <f t="shared" si="12"/>
        <v>405</v>
      </c>
      <c r="Q75" s="67"/>
      <c r="R75" s="67">
        <v>405</v>
      </c>
      <c r="S75" s="67"/>
      <c r="T75" s="67"/>
      <c r="U75" s="67">
        <f t="shared" si="15"/>
        <v>0</v>
      </c>
      <c r="V75" s="67"/>
      <c r="W75" s="67"/>
      <c r="X75" s="67"/>
      <c r="Y75" s="67"/>
      <c r="Z75" s="67"/>
      <c r="AA75" s="67"/>
      <c r="AB75" s="67"/>
      <c r="AC75" s="67"/>
      <c r="AD75" s="67"/>
      <c r="AE75" s="67"/>
    </row>
    <row r="76" spans="1:31" s="16" customFormat="1" ht="20.25" customHeight="1" x14ac:dyDescent="0.25">
      <c r="A76" s="70" t="s">
        <v>406</v>
      </c>
      <c r="B76" s="77" t="s">
        <v>588</v>
      </c>
      <c r="C76" s="67">
        <f t="shared" si="10"/>
        <v>309</v>
      </c>
      <c r="D76" s="67"/>
      <c r="E76" s="67">
        <f t="shared" ref="E76:E91" si="17">F76+G76+H76</f>
        <v>309</v>
      </c>
      <c r="F76" s="67">
        <v>309</v>
      </c>
      <c r="G76" s="67"/>
      <c r="H76" s="67"/>
      <c r="I76" s="67"/>
      <c r="J76" s="67"/>
      <c r="K76" s="67">
        <f t="shared" ref="K76:K116" si="18">L76+M76</f>
        <v>0</v>
      </c>
      <c r="L76" s="67"/>
      <c r="M76" s="67"/>
      <c r="N76" s="67">
        <f t="shared" si="13"/>
        <v>195.123178</v>
      </c>
      <c r="O76" s="67"/>
      <c r="P76" s="68">
        <f t="shared" si="12"/>
        <v>195.123178</v>
      </c>
      <c r="Q76" s="67"/>
      <c r="R76" s="67">
        <v>195.123178</v>
      </c>
      <c r="S76" s="67"/>
      <c r="T76" s="67"/>
      <c r="U76" s="67">
        <f t="shared" si="15"/>
        <v>0</v>
      </c>
      <c r="V76" s="67"/>
      <c r="W76" s="67"/>
      <c r="X76" s="67"/>
      <c r="Y76" s="67"/>
      <c r="Z76" s="67"/>
      <c r="AA76" s="67"/>
      <c r="AB76" s="67">
        <f t="shared" si="14"/>
        <v>63.146659546925569</v>
      </c>
      <c r="AC76" s="67"/>
      <c r="AD76" s="67">
        <f t="shared" si="16"/>
        <v>63.146659546925569</v>
      </c>
      <c r="AE76" s="67"/>
    </row>
    <row r="77" spans="1:31" s="16" customFormat="1" ht="24.75" customHeight="1" x14ac:dyDescent="0.25">
      <c r="A77" s="65" t="s">
        <v>407</v>
      </c>
      <c r="B77" s="75" t="s">
        <v>589</v>
      </c>
      <c r="C77" s="67">
        <f t="shared" ref="C77:C109" si="19">D77+E77+I77+J77+K77</f>
        <v>118</v>
      </c>
      <c r="D77" s="67"/>
      <c r="E77" s="67">
        <f t="shared" si="17"/>
        <v>118</v>
      </c>
      <c r="F77" s="67">
        <v>118</v>
      </c>
      <c r="G77" s="67"/>
      <c r="H77" s="67"/>
      <c r="I77" s="67"/>
      <c r="J77" s="67"/>
      <c r="K77" s="67">
        <f t="shared" si="18"/>
        <v>0</v>
      </c>
      <c r="L77" s="67"/>
      <c r="M77" s="67"/>
      <c r="N77" s="67">
        <f t="shared" si="13"/>
        <v>167.48495500000001</v>
      </c>
      <c r="O77" s="67"/>
      <c r="P77" s="68">
        <f t="shared" ref="P77:P91" si="20">Q77+R77</f>
        <v>167.48495500000001</v>
      </c>
      <c r="Q77" s="67"/>
      <c r="R77" s="67">
        <v>167.48495500000001</v>
      </c>
      <c r="S77" s="67"/>
      <c r="T77" s="67"/>
      <c r="U77" s="67">
        <f t="shared" si="15"/>
        <v>0</v>
      </c>
      <c r="V77" s="67"/>
      <c r="W77" s="67"/>
      <c r="X77" s="67"/>
      <c r="Y77" s="67"/>
      <c r="Z77" s="67"/>
      <c r="AA77" s="67"/>
      <c r="AB77" s="67"/>
      <c r="AC77" s="67"/>
      <c r="AD77" s="67"/>
      <c r="AE77" s="67"/>
    </row>
    <row r="78" spans="1:31" s="16" customFormat="1" ht="24.75" customHeight="1" x14ac:dyDescent="0.25">
      <c r="A78" s="70" t="s">
        <v>408</v>
      </c>
      <c r="B78" s="75" t="s">
        <v>590</v>
      </c>
      <c r="C78" s="67">
        <f t="shared" si="19"/>
        <v>4164</v>
      </c>
      <c r="D78" s="67"/>
      <c r="E78" s="67">
        <f>F78+G78+H78</f>
        <v>4164</v>
      </c>
      <c r="F78" s="67">
        <v>178</v>
      </c>
      <c r="G78" s="67"/>
      <c r="H78" s="67">
        <v>3986</v>
      </c>
      <c r="I78" s="67"/>
      <c r="J78" s="67"/>
      <c r="K78" s="67">
        <f t="shared" si="18"/>
        <v>0</v>
      </c>
      <c r="L78" s="67"/>
      <c r="M78" s="67"/>
      <c r="N78" s="67">
        <f t="shared" ref="N78:N91" si="21">O78+P78+S78+T78+U78</f>
        <v>3898.9755</v>
      </c>
      <c r="O78" s="67"/>
      <c r="P78" s="68">
        <f t="shared" si="20"/>
        <v>3484.7060000000001</v>
      </c>
      <c r="Q78" s="67"/>
      <c r="R78" s="67">
        <v>3484.7060000000001</v>
      </c>
      <c r="S78" s="67"/>
      <c r="T78" s="67"/>
      <c r="U78" s="67">
        <f t="shared" si="15"/>
        <v>414.26949999999999</v>
      </c>
      <c r="V78" s="67"/>
      <c r="W78" s="67">
        <v>414.26949999999999</v>
      </c>
      <c r="X78" s="67"/>
      <c r="Y78" s="67"/>
      <c r="Z78" s="67"/>
      <c r="AA78" s="67"/>
      <c r="AB78" s="67"/>
      <c r="AC78" s="67"/>
      <c r="AD78" s="67"/>
      <c r="AE78" s="67"/>
    </row>
    <row r="79" spans="1:31" s="16" customFormat="1" ht="20.25" customHeight="1" x14ac:dyDescent="0.25">
      <c r="A79" s="65" t="s">
        <v>409</v>
      </c>
      <c r="B79" s="75" t="s">
        <v>591</v>
      </c>
      <c r="C79" s="67">
        <f t="shared" si="19"/>
        <v>4568</v>
      </c>
      <c r="D79" s="67"/>
      <c r="E79" s="67">
        <f t="shared" si="17"/>
        <v>4568</v>
      </c>
      <c r="F79" s="67">
        <v>109</v>
      </c>
      <c r="G79" s="67"/>
      <c r="H79" s="67">
        <v>4459</v>
      </c>
      <c r="I79" s="67"/>
      <c r="J79" s="67"/>
      <c r="K79" s="67">
        <f t="shared" si="18"/>
        <v>0</v>
      </c>
      <c r="L79" s="67"/>
      <c r="M79" s="67"/>
      <c r="N79" s="67">
        <f t="shared" si="21"/>
        <v>4377.9459999999999</v>
      </c>
      <c r="O79" s="67"/>
      <c r="P79" s="68">
        <f t="shared" si="20"/>
        <v>4377.9459999999999</v>
      </c>
      <c r="Q79" s="67"/>
      <c r="R79" s="67">
        <v>4377.9459999999999</v>
      </c>
      <c r="S79" s="67"/>
      <c r="T79" s="67"/>
      <c r="U79" s="67">
        <f t="shared" si="15"/>
        <v>0</v>
      </c>
      <c r="V79" s="67"/>
      <c r="W79" s="67"/>
      <c r="X79" s="67"/>
      <c r="Y79" s="67"/>
      <c r="Z79" s="67"/>
      <c r="AA79" s="67"/>
      <c r="AB79" s="67"/>
      <c r="AC79" s="67"/>
      <c r="AD79" s="67"/>
      <c r="AE79" s="67"/>
    </row>
    <row r="80" spans="1:31" s="16" customFormat="1" ht="24.75" customHeight="1" x14ac:dyDescent="0.25">
      <c r="A80" s="70" t="s">
        <v>410</v>
      </c>
      <c r="B80" s="75" t="s">
        <v>592</v>
      </c>
      <c r="C80" s="67">
        <f t="shared" si="19"/>
        <v>230</v>
      </c>
      <c r="D80" s="67"/>
      <c r="E80" s="67">
        <f t="shared" si="17"/>
        <v>230</v>
      </c>
      <c r="F80" s="67">
        <v>144</v>
      </c>
      <c r="G80" s="67"/>
      <c r="H80" s="67">
        <v>86</v>
      </c>
      <c r="I80" s="67"/>
      <c r="J80" s="67"/>
      <c r="K80" s="67">
        <f t="shared" si="18"/>
        <v>0</v>
      </c>
      <c r="L80" s="67"/>
      <c r="M80" s="67"/>
      <c r="N80" s="67">
        <f t="shared" si="21"/>
        <v>110.15822</v>
      </c>
      <c r="O80" s="67"/>
      <c r="P80" s="68">
        <f t="shared" si="20"/>
        <v>110.15822</v>
      </c>
      <c r="Q80" s="67"/>
      <c r="R80" s="67">
        <v>110.15822</v>
      </c>
      <c r="S80" s="67"/>
      <c r="T80" s="67"/>
      <c r="U80" s="67">
        <f t="shared" si="15"/>
        <v>0</v>
      </c>
      <c r="V80" s="67"/>
      <c r="W80" s="67"/>
      <c r="X80" s="67"/>
      <c r="Y80" s="67"/>
      <c r="Z80" s="67"/>
      <c r="AA80" s="67"/>
      <c r="AB80" s="67"/>
      <c r="AC80" s="67"/>
      <c r="AD80" s="67"/>
      <c r="AE80" s="67"/>
    </row>
    <row r="81" spans="1:31" s="16" customFormat="1" ht="24.75" customHeight="1" x14ac:dyDescent="0.25">
      <c r="A81" s="65" t="s">
        <v>411</v>
      </c>
      <c r="B81" s="75" t="s">
        <v>593</v>
      </c>
      <c r="C81" s="67">
        <f t="shared" si="19"/>
        <v>2429</v>
      </c>
      <c r="D81" s="67"/>
      <c r="E81" s="67">
        <f t="shared" si="17"/>
        <v>1453</v>
      </c>
      <c r="F81" s="67">
        <v>811</v>
      </c>
      <c r="G81" s="67"/>
      <c r="H81" s="67">
        <v>642</v>
      </c>
      <c r="I81" s="67"/>
      <c r="J81" s="67"/>
      <c r="K81" s="67">
        <f t="shared" si="18"/>
        <v>976</v>
      </c>
      <c r="L81" s="67">
        <v>0</v>
      </c>
      <c r="M81" s="67">
        <v>976</v>
      </c>
      <c r="N81" s="67">
        <f t="shared" si="21"/>
        <v>2765.404</v>
      </c>
      <c r="O81" s="67"/>
      <c r="P81" s="68">
        <f t="shared" si="20"/>
        <v>2014</v>
      </c>
      <c r="Q81" s="67"/>
      <c r="R81" s="67">
        <v>2014</v>
      </c>
      <c r="S81" s="67"/>
      <c r="T81" s="67"/>
      <c r="U81" s="67">
        <f t="shared" si="15"/>
        <v>751.404</v>
      </c>
      <c r="V81" s="67"/>
      <c r="W81" s="67">
        <v>751.404</v>
      </c>
      <c r="X81" s="67"/>
      <c r="Y81" s="67"/>
      <c r="Z81" s="67"/>
      <c r="AA81" s="67"/>
      <c r="AB81" s="67"/>
      <c r="AC81" s="67"/>
      <c r="AD81" s="67">
        <f t="shared" si="16"/>
        <v>138.60977288368892</v>
      </c>
      <c r="AE81" s="67">
        <f t="shared" ref="AE81:AE102" si="22">U81/K81%</f>
        <v>76.988114754098362</v>
      </c>
    </row>
    <row r="82" spans="1:31" s="16" customFormat="1" ht="24.75" customHeight="1" x14ac:dyDescent="0.25">
      <c r="A82" s="70" t="s">
        <v>412</v>
      </c>
      <c r="B82" s="75" t="s">
        <v>594</v>
      </c>
      <c r="C82" s="67">
        <f t="shared" si="19"/>
        <v>5748</v>
      </c>
      <c r="D82" s="67"/>
      <c r="E82" s="67">
        <f t="shared" si="17"/>
        <v>5748</v>
      </c>
      <c r="F82" s="67">
        <v>214</v>
      </c>
      <c r="G82" s="67"/>
      <c r="H82" s="67">
        <v>5534</v>
      </c>
      <c r="I82" s="67"/>
      <c r="J82" s="67"/>
      <c r="K82" s="67">
        <f t="shared" si="18"/>
        <v>0</v>
      </c>
      <c r="L82" s="67"/>
      <c r="M82" s="67"/>
      <c r="N82" s="67">
        <f t="shared" si="21"/>
        <v>5738.0460000000003</v>
      </c>
      <c r="O82" s="67"/>
      <c r="P82" s="68">
        <f t="shared" si="20"/>
        <v>5738.0460000000003</v>
      </c>
      <c r="Q82" s="67"/>
      <c r="R82" s="67">
        <v>5738.0460000000003</v>
      </c>
      <c r="S82" s="67"/>
      <c r="T82" s="67"/>
      <c r="U82" s="67">
        <f t="shared" si="15"/>
        <v>0</v>
      </c>
      <c r="V82" s="67"/>
      <c r="W82" s="67"/>
      <c r="X82" s="67"/>
      <c r="Y82" s="67"/>
      <c r="Z82" s="67"/>
      <c r="AA82" s="67"/>
      <c r="AB82" s="67"/>
      <c r="AC82" s="67"/>
      <c r="AD82" s="67">
        <f t="shared" si="16"/>
        <v>99.826826722338211</v>
      </c>
      <c r="AE82" s="67"/>
    </row>
    <row r="83" spans="1:31" s="16" customFormat="1" ht="24.75" hidden="1" customHeight="1" outlineLevel="1" x14ac:dyDescent="0.25">
      <c r="A83" s="65" t="s">
        <v>413</v>
      </c>
      <c r="B83" s="75" t="s">
        <v>595</v>
      </c>
      <c r="C83" s="67">
        <f t="shared" si="19"/>
        <v>592</v>
      </c>
      <c r="D83" s="67"/>
      <c r="E83" s="67">
        <f t="shared" si="17"/>
        <v>592</v>
      </c>
      <c r="F83" s="67">
        <v>592</v>
      </c>
      <c r="G83" s="67"/>
      <c r="H83" s="67"/>
      <c r="I83" s="67"/>
      <c r="J83" s="67"/>
      <c r="K83" s="67">
        <f t="shared" si="18"/>
        <v>0</v>
      </c>
      <c r="L83" s="67"/>
      <c r="M83" s="67"/>
      <c r="N83" s="67">
        <f t="shared" si="21"/>
        <v>832.05</v>
      </c>
      <c r="O83" s="67"/>
      <c r="P83" s="68">
        <f t="shared" si="20"/>
        <v>832.05</v>
      </c>
      <c r="Q83" s="67"/>
      <c r="R83" s="67">
        <v>832.05</v>
      </c>
      <c r="S83" s="67"/>
      <c r="T83" s="67"/>
      <c r="U83" s="67">
        <f t="shared" si="15"/>
        <v>0</v>
      </c>
      <c r="V83" s="67"/>
      <c r="W83" s="67"/>
      <c r="X83" s="67"/>
      <c r="Y83" s="67"/>
      <c r="Z83" s="67"/>
      <c r="AA83" s="67"/>
      <c r="AB83" s="67"/>
      <c r="AC83" s="67"/>
      <c r="AD83" s="67">
        <f t="shared" si="16"/>
        <v>140.54898648648648</v>
      </c>
      <c r="AE83" s="67"/>
    </row>
    <row r="84" spans="1:31" s="16" customFormat="1" ht="24.75" hidden="1" customHeight="1" outlineLevel="1" x14ac:dyDescent="0.25">
      <c r="A84" s="70" t="s">
        <v>414</v>
      </c>
      <c r="B84" s="75" t="s">
        <v>596</v>
      </c>
      <c r="C84" s="67">
        <f t="shared" si="19"/>
        <v>2476</v>
      </c>
      <c r="D84" s="67"/>
      <c r="E84" s="67">
        <f t="shared" si="17"/>
        <v>2476</v>
      </c>
      <c r="F84" s="67">
        <v>2476</v>
      </c>
      <c r="G84" s="67"/>
      <c r="H84" s="67"/>
      <c r="I84" s="67"/>
      <c r="J84" s="67"/>
      <c r="K84" s="67">
        <f t="shared" si="18"/>
        <v>0</v>
      </c>
      <c r="L84" s="67"/>
      <c r="M84" s="67"/>
      <c r="N84" s="67">
        <f t="shared" si="21"/>
        <v>3498.4920000000002</v>
      </c>
      <c r="O84" s="67"/>
      <c r="P84" s="68">
        <f t="shared" si="20"/>
        <v>3498.4920000000002</v>
      </c>
      <c r="Q84" s="67"/>
      <c r="R84" s="67">
        <v>3498.4920000000002</v>
      </c>
      <c r="S84" s="67"/>
      <c r="T84" s="67"/>
      <c r="U84" s="67">
        <f t="shared" si="15"/>
        <v>0</v>
      </c>
      <c r="V84" s="67"/>
      <c r="W84" s="67"/>
      <c r="X84" s="67"/>
      <c r="Y84" s="67"/>
      <c r="Z84" s="67"/>
      <c r="AA84" s="67"/>
      <c r="AB84" s="67"/>
      <c r="AC84" s="67"/>
      <c r="AD84" s="67">
        <f t="shared" si="16"/>
        <v>141.29612277867528</v>
      </c>
      <c r="AE84" s="67"/>
    </row>
    <row r="85" spans="1:31" s="16" customFormat="1" ht="24.75" hidden="1" customHeight="1" outlineLevel="1" x14ac:dyDescent="0.25">
      <c r="A85" s="65" t="s">
        <v>415</v>
      </c>
      <c r="B85" s="75" t="s">
        <v>359</v>
      </c>
      <c r="C85" s="67">
        <f t="shared" si="19"/>
        <v>4909</v>
      </c>
      <c r="D85" s="67"/>
      <c r="E85" s="67">
        <f t="shared" si="17"/>
        <v>4909</v>
      </c>
      <c r="F85" s="67">
        <v>4909</v>
      </c>
      <c r="G85" s="67"/>
      <c r="H85" s="67"/>
      <c r="I85" s="67"/>
      <c r="J85" s="67"/>
      <c r="K85" s="67">
        <f t="shared" si="18"/>
        <v>0</v>
      </c>
      <c r="L85" s="67"/>
      <c r="M85" s="67"/>
      <c r="N85" s="67">
        <f t="shared" si="21"/>
        <v>5396.5276039999999</v>
      </c>
      <c r="O85" s="67"/>
      <c r="P85" s="68">
        <f t="shared" si="20"/>
        <v>5396.5276039999999</v>
      </c>
      <c r="Q85" s="67"/>
      <c r="R85" s="67">
        <v>5396.5276039999999</v>
      </c>
      <c r="S85" s="67"/>
      <c r="T85" s="67"/>
      <c r="U85" s="67">
        <f t="shared" si="15"/>
        <v>0</v>
      </c>
      <c r="V85" s="67"/>
      <c r="W85" s="67"/>
      <c r="X85" s="67"/>
      <c r="Y85" s="67"/>
      <c r="Z85" s="67"/>
      <c r="AA85" s="67"/>
      <c r="AB85" s="67"/>
      <c r="AC85" s="67"/>
      <c r="AD85" s="67">
        <f t="shared" si="16"/>
        <v>109.93130177225503</v>
      </c>
      <c r="AE85" s="67"/>
    </row>
    <row r="86" spans="1:31" s="16" customFormat="1" ht="24.75" hidden="1" customHeight="1" outlineLevel="1" x14ac:dyDescent="0.25">
      <c r="A86" s="70" t="s">
        <v>416</v>
      </c>
      <c r="B86" s="75" t="s">
        <v>597</v>
      </c>
      <c r="C86" s="67">
        <f t="shared" si="19"/>
        <v>7278</v>
      </c>
      <c r="D86" s="67"/>
      <c r="E86" s="67">
        <f t="shared" si="17"/>
        <v>7278</v>
      </c>
      <c r="F86" s="67">
        <v>7278</v>
      </c>
      <c r="G86" s="67"/>
      <c r="H86" s="67"/>
      <c r="I86" s="67"/>
      <c r="J86" s="67"/>
      <c r="K86" s="67">
        <f t="shared" si="18"/>
        <v>0</v>
      </c>
      <c r="L86" s="67"/>
      <c r="M86" s="67"/>
      <c r="N86" s="67">
        <f t="shared" si="21"/>
        <v>8872.1130219999995</v>
      </c>
      <c r="O86" s="67"/>
      <c r="P86" s="68">
        <f t="shared" si="20"/>
        <v>8872.1130219999995</v>
      </c>
      <c r="Q86" s="67"/>
      <c r="R86" s="67">
        <v>8872.1130219999995</v>
      </c>
      <c r="S86" s="67"/>
      <c r="T86" s="67"/>
      <c r="U86" s="67">
        <f t="shared" si="15"/>
        <v>0</v>
      </c>
      <c r="V86" s="67"/>
      <c r="W86" s="67"/>
      <c r="X86" s="67"/>
      <c r="Y86" s="67"/>
      <c r="Z86" s="67"/>
      <c r="AA86" s="67"/>
      <c r="AB86" s="67"/>
      <c r="AC86" s="67"/>
      <c r="AD86" s="67">
        <f t="shared" si="16"/>
        <v>121.9031742511679</v>
      </c>
      <c r="AE86" s="67"/>
    </row>
    <row r="87" spans="1:31" s="16" customFormat="1" ht="24.75" customHeight="1" collapsed="1" x14ac:dyDescent="0.25">
      <c r="A87" s="65" t="s">
        <v>417</v>
      </c>
      <c r="B87" s="75" t="s">
        <v>598</v>
      </c>
      <c r="C87" s="67">
        <f t="shared" si="19"/>
        <v>4128</v>
      </c>
      <c r="D87" s="67"/>
      <c r="E87" s="67">
        <f t="shared" si="17"/>
        <v>4128</v>
      </c>
      <c r="F87" s="67">
        <v>4128</v>
      </c>
      <c r="G87" s="67"/>
      <c r="H87" s="67"/>
      <c r="I87" s="67"/>
      <c r="J87" s="67"/>
      <c r="K87" s="67">
        <f t="shared" si="18"/>
        <v>0</v>
      </c>
      <c r="L87" s="67"/>
      <c r="M87" s="67"/>
      <c r="N87" s="67">
        <f t="shared" si="21"/>
        <v>5056.6251220000004</v>
      </c>
      <c r="O87" s="67"/>
      <c r="P87" s="68">
        <f t="shared" si="20"/>
        <v>5056.6251220000004</v>
      </c>
      <c r="Q87" s="67"/>
      <c r="R87" s="67">
        <v>5056.6251220000004</v>
      </c>
      <c r="S87" s="67"/>
      <c r="T87" s="67"/>
      <c r="U87" s="67">
        <f t="shared" si="15"/>
        <v>0</v>
      </c>
      <c r="V87" s="67"/>
      <c r="W87" s="67"/>
      <c r="X87" s="67"/>
      <c r="Y87" s="67"/>
      <c r="Z87" s="67"/>
      <c r="AA87" s="67"/>
      <c r="AB87" s="67"/>
      <c r="AC87" s="67"/>
      <c r="AD87" s="67">
        <f t="shared" si="16"/>
        <v>122.49576361434109</v>
      </c>
      <c r="AE87" s="67"/>
    </row>
    <row r="88" spans="1:31" s="16" customFormat="1" ht="19.5" customHeight="1" x14ac:dyDescent="0.25">
      <c r="A88" s="70" t="s">
        <v>418</v>
      </c>
      <c r="B88" s="75" t="s">
        <v>668</v>
      </c>
      <c r="C88" s="67">
        <f t="shared" si="19"/>
        <v>777</v>
      </c>
      <c r="D88" s="67"/>
      <c r="E88" s="67">
        <f t="shared" si="17"/>
        <v>777</v>
      </c>
      <c r="F88" s="67">
        <v>777</v>
      </c>
      <c r="G88" s="67"/>
      <c r="H88" s="67"/>
      <c r="I88" s="67"/>
      <c r="J88" s="67"/>
      <c r="K88" s="67">
        <f t="shared" si="18"/>
        <v>0</v>
      </c>
      <c r="L88" s="67"/>
      <c r="M88" s="67"/>
      <c r="N88" s="67">
        <f t="shared" si="21"/>
        <v>752.07360000000006</v>
      </c>
      <c r="O88" s="67"/>
      <c r="P88" s="68">
        <f t="shared" si="20"/>
        <v>752.07360000000006</v>
      </c>
      <c r="Q88" s="67"/>
      <c r="R88" s="67">
        <v>752.07360000000006</v>
      </c>
      <c r="S88" s="67"/>
      <c r="T88" s="67"/>
      <c r="U88" s="67">
        <f t="shared" si="15"/>
        <v>0</v>
      </c>
      <c r="V88" s="67"/>
      <c r="W88" s="67"/>
      <c r="X88" s="67"/>
      <c r="Y88" s="67"/>
      <c r="Z88" s="67"/>
      <c r="AA88" s="67"/>
      <c r="AB88" s="67"/>
      <c r="AC88" s="67"/>
      <c r="AD88" s="67">
        <f t="shared" si="16"/>
        <v>96.791969111969124</v>
      </c>
      <c r="AE88" s="67"/>
    </row>
    <row r="89" spans="1:31" s="16" customFormat="1" ht="24.75" customHeight="1" x14ac:dyDescent="0.25">
      <c r="A89" s="65" t="s">
        <v>419</v>
      </c>
      <c r="B89" s="75" t="s">
        <v>535</v>
      </c>
      <c r="C89" s="67">
        <f t="shared" si="19"/>
        <v>0</v>
      </c>
      <c r="D89" s="67"/>
      <c r="E89" s="67">
        <f t="shared" si="17"/>
        <v>0</v>
      </c>
      <c r="F89" s="67"/>
      <c r="G89" s="67"/>
      <c r="H89" s="67"/>
      <c r="I89" s="67"/>
      <c r="J89" s="67"/>
      <c r="K89" s="67"/>
      <c r="L89" s="67"/>
      <c r="M89" s="67"/>
      <c r="N89" s="67">
        <f t="shared" si="21"/>
        <v>264253.96598699997</v>
      </c>
      <c r="O89" s="67"/>
      <c r="P89" s="68">
        <f t="shared" si="20"/>
        <v>264253.96598699997</v>
      </c>
      <c r="Q89" s="67"/>
      <c r="R89" s="67">
        <v>264253.96598699997</v>
      </c>
      <c r="S89" s="67"/>
      <c r="T89" s="67"/>
      <c r="U89" s="67">
        <f t="shared" si="15"/>
        <v>0</v>
      </c>
      <c r="V89" s="67"/>
      <c r="W89" s="67"/>
      <c r="X89" s="67"/>
      <c r="Y89" s="67"/>
      <c r="Z89" s="67"/>
      <c r="AA89" s="67"/>
      <c r="AB89" s="67"/>
      <c r="AC89" s="67"/>
      <c r="AD89" s="67"/>
      <c r="AE89" s="67"/>
    </row>
    <row r="90" spans="1:31" s="16" customFormat="1" ht="24.75" customHeight="1" x14ac:dyDescent="0.25">
      <c r="A90" s="70" t="s">
        <v>420</v>
      </c>
      <c r="B90" s="75" t="s">
        <v>538</v>
      </c>
      <c r="C90" s="67">
        <v>102145</v>
      </c>
      <c r="D90" s="67">
        <v>19040</v>
      </c>
      <c r="E90" s="67">
        <v>81962</v>
      </c>
      <c r="F90" s="67">
        <v>81902</v>
      </c>
      <c r="G90" s="67">
        <v>0</v>
      </c>
      <c r="H90" s="67">
        <v>60</v>
      </c>
      <c r="I90" s="67">
        <v>0</v>
      </c>
      <c r="J90" s="67">
        <v>0</v>
      </c>
      <c r="K90" s="67">
        <v>1143</v>
      </c>
      <c r="L90" s="67">
        <v>0</v>
      </c>
      <c r="M90" s="67">
        <v>1143</v>
      </c>
      <c r="N90" s="67">
        <v>121030.011104</v>
      </c>
      <c r="O90" s="67">
        <v>19580.331565</v>
      </c>
      <c r="P90" s="67">
        <v>100011.679539</v>
      </c>
      <c r="Q90" s="67">
        <v>97896.436339000007</v>
      </c>
      <c r="R90" s="67">
        <v>2115.2431999999999</v>
      </c>
      <c r="S90" s="67">
        <v>0</v>
      </c>
      <c r="T90" s="67">
        <v>0</v>
      </c>
      <c r="U90" s="67">
        <v>1438</v>
      </c>
      <c r="V90" s="67">
        <v>0</v>
      </c>
      <c r="W90" s="67">
        <v>1438</v>
      </c>
      <c r="X90" s="67">
        <v>0</v>
      </c>
      <c r="Y90" s="67">
        <v>0</v>
      </c>
      <c r="Z90" s="67">
        <v>0</v>
      </c>
      <c r="AA90" s="67">
        <v>0</v>
      </c>
      <c r="AB90" s="67">
        <f t="shared" ref="AB90" si="23">N90/C90%</f>
        <v>118.48843419061139</v>
      </c>
      <c r="AC90" s="67">
        <f t="shared" ref="AC90" si="24">O90/D90%</f>
        <v>102.83787586659663</v>
      </c>
      <c r="AD90" s="67">
        <f t="shared" si="16"/>
        <v>122.02200963739294</v>
      </c>
      <c r="AE90" s="67">
        <f t="shared" ref="AE90" si="25">U90/K90%</f>
        <v>125.8092738407699</v>
      </c>
    </row>
    <row r="91" spans="1:31" s="16" customFormat="1" ht="22.5" customHeight="1" x14ac:dyDescent="0.25">
      <c r="A91" s="65" t="s">
        <v>536</v>
      </c>
      <c r="B91" s="75" t="s">
        <v>669</v>
      </c>
      <c r="C91" s="67">
        <f t="shared" si="19"/>
        <v>0</v>
      </c>
      <c r="D91" s="67"/>
      <c r="E91" s="67">
        <f t="shared" si="17"/>
        <v>0</v>
      </c>
      <c r="F91" s="67"/>
      <c r="G91" s="67"/>
      <c r="H91" s="67"/>
      <c r="I91" s="67"/>
      <c r="J91" s="67"/>
      <c r="K91" s="67"/>
      <c r="L91" s="67"/>
      <c r="M91" s="67"/>
      <c r="N91" s="67">
        <f t="shared" si="21"/>
        <v>5456.9999999997672</v>
      </c>
      <c r="O91" s="67">
        <v>5456.9999999997672</v>
      </c>
      <c r="P91" s="68">
        <f t="shared" si="20"/>
        <v>0</v>
      </c>
      <c r="Q91" s="67"/>
      <c r="R91" s="67"/>
      <c r="S91" s="67"/>
      <c r="T91" s="67"/>
      <c r="U91" s="67">
        <f t="shared" si="15"/>
        <v>0</v>
      </c>
      <c r="V91" s="67"/>
      <c r="W91" s="67"/>
      <c r="X91" s="67"/>
      <c r="Y91" s="67"/>
      <c r="Z91" s="67"/>
      <c r="AA91" s="67"/>
      <c r="AB91" s="67"/>
      <c r="AC91" s="67"/>
      <c r="AD91" s="67"/>
      <c r="AE91" s="67"/>
    </row>
    <row r="92" spans="1:31" s="16" customFormat="1" ht="53.25" customHeight="1" x14ac:dyDescent="0.25">
      <c r="A92" s="79" t="s">
        <v>363</v>
      </c>
      <c r="B92" s="80" t="s">
        <v>364</v>
      </c>
      <c r="C92" s="61">
        <f t="shared" si="19"/>
        <v>1180494.439</v>
      </c>
      <c r="D92" s="61">
        <f>SUM(D93:D103)</f>
        <v>211690.43899999998</v>
      </c>
      <c r="E92" s="61">
        <f t="shared" ref="E92" si="26">SUM(E93:E102)</f>
        <v>0</v>
      </c>
      <c r="F92" s="61"/>
      <c r="G92" s="61"/>
      <c r="H92" s="61"/>
      <c r="I92" s="61">
        <f>SUM(I93:I102)</f>
        <v>0</v>
      </c>
      <c r="J92" s="61">
        <f>SUM(J93:J102)</f>
        <v>0</v>
      </c>
      <c r="K92" s="61">
        <f t="shared" si="18"/>
        <v>968804</v>
      </c>
      <c r="L92" s="61">
        <f>SUM(L93:L103)</f>
        <v>595672</v>
      </c>
      <c r="M92" s="61">
        <f>SUM(M93:M102)</f>
        <v>373132</v>
      </c>
      <c r="N92" s="61">
        <f>O92+P92+S92+T92+U92</f>
        <v>231684.504281</v>
      </c>
      <c r="O92" s="61">
        <f>SUM(O93:O103)</f>
        <v>230499.11428099999</v>
      </c>
      <c r="P92" s="61">
        <f t="shared" ref="P92:T92" si="27">SUM(P93:P103)</f>
        <v>0</v>
      </c>
      <c r="Q92" s="61">
        <f t="shared" si="27"/>
        <v>0</v>
      </c>
      <c r="R92" s="61">
        <f t="shared" si="27"/>
        <v>0</v>
      </c>
      <c r="S92" s="61">
        <f t="shared" si="27"/>
        <v>0</v>
      </c>
      <c r="T92" s="61">
        <f t="shared" si="27"/>
        <v>0</v>
      </c>
      <c r="U92" s="61">
        <f t="shared" ref="U92" si="28">SUM(U93:U102)</f>
        <v>1185.3900000000001</v>
      </c>
      <c r="V92" s="61">
        <f>SUM(V93:V103)</f>
        <v>1185.3900000000001</v>
      </c>
      <c r="W92" s="61"/>
      <c r="X92" s="61">
        <f t="shared" ref="X92:Z92" si="29">SUM(X93:X103)</f>
        <v>0</v>
      </c>
      <c r="Y92" s="61">
        <f t="shared" si="29"/>
        <v>0</v>
      </c>
      <c r="Z92" s="61">
        <f t="shared" si="29"/>
        <v>0</v>
      </c>
      <c r="AA92" s="61"/>
      <c r="AB92" s="67">
        <f t="shared" ref="AB92:AC112" si="30">N92/C92%</f>
        <v>19.626056390173304</v>
      </c>
      <c r="AC92" s="67">
        <f t="shared" si="30"/>
        <v>108.88499044635644</v>
      </c>
      <c r="AD92" s="67"/>
      <c r="AE92" s="67">
        <f t="shared" si="22"/>
        <v>0.12235601834839657</v>
      </c>
    </row>
    <row r="93" spans="1:31" s="16" customFormat="1" ht="24.75" customHeight="1" x14ac:dyDescent="0.25">
      <c r="A93" s="81" t="s">
        <v>259</v>
      </c>
      <c r="B93" s="82" t="s">
        <v>134</v>
      </c>
      <c r="C93" s="67">
        <f t="shared" si="19"/>
        <v>88058.676000000007</v>
      </c>
      <c r="D93" s="68">
        <v>43589.675999999999</v>
      </c>
      <c r="E93" s="68"/>
      <c r="F93" s="68"/>
      <c r="G93" s="68"/>
      <c r="H93" s="68"/>
      <c r="I93" s="68"/>
      <c r="J93" s="68"/>
      <c r="K93" s="67">
        <f t="shared" si="18"/>
        <v>44469</v>
      </c>
      <c r="L93" s="68">
        <v>23461</v>
      </c>
      <c r="M93" s="68">
        <v>21008</v>
      </c>
      <c r="N93" s="67">
        <f t="shared" ref="N93:N100" si="31">O93+P93+S93+T93+U93</f>
        <v>2700.1880000000001</v>
      </c>
      <c r="O93" s="68">
        <f>12746.097212-10045.909212</f>
        <v>2700.1880000000001</v>
      </c>
      <c r="P93" s="68">
        <f t="shared" ref="P93:P107" si="32">Q93+R93</f>
        <v>0</v>
      </c>
      <c r="Q93" s="68"/>
      <c r="R93" s="68"/>
      <c r="S93" s="68"/>
      <c r="T93" s="68"/>
      <c r="U93" s="67">
        <f t="shared" ref="U93:U102" si="33">V93+W93</f>
        <v>0</v>
      </c>
      <c r="V93" s="68"/>
      <c r="W93" s="68"/>
      <c r="X93" s="67">
        <f t="shared" ref="X93:X102" si="34">Y93+Z93</f>
        <v>0</v>
      </c>
      <c r="Y93" s="67"/>
      <c r="Z93" s="67"/>
      <c r="AA93" s="67"/>
      <c r="AB93" s="67">
        <f t="shared" si="30"/>
        <v>3.0663508953961562</v>
      </c>
      <c r="AC93" s="67">
        <f t="shared" si="30"/>
        <v>6.1945585463860757</v>
      </c>
      <c r="AD93" s="67"/>
      <c r="AE93" s="67">
        <f t="shared" si="22"/>
        <v>0</v>
      </c>
    </row>
    <row r="94" spans="1:31" s="16" customFormat="1" ht="24" customHeight="1" x14ac:dyDescent="0.25">
      <c r="A94" s="81" t="s">
        <v>261</v>
      </c>
      <c r="B94" s="82" t="s">
        <v>133</v>
      </c>
      <c r="C94" s="67">
        <f t="shared" si="19"/>
        <v>82850</v>
      </c>
      <c r="D94" s="68"/>
      <c r="E94" s="68"/>
      <c r="F94" s="68"/>
      <c r="G94" s="68"/>
      <c r="H94" s="68"/>
      <c r="I94" s="68"/>
      <c r="J94" s="68"/>
      <c r="K94" s="67">
        <f t="shared" si="18"/>
        <v>82850</v>
      </c>
      <c r="L94" s="68">
        <v>46414</v>
      </c>
      <c r="M94" s="68">
        <v>36436</v>
      </c>
      <c r="N94" s="67">
        <f t="shared" si="31"/>
        <v>0</v>
      </c>
      <c r="O94" s="68"/>
      <c r="P94" s="68">
        <f t="shared" si="32"/>
        <v>0</v>
      </c>
      <c r="Q94" s="68"/>
      <c r="R94" s="68"/>
      <c r="S94" s="68"/>
      <c r="T94" s="68"/>
      <c r="U94" s="67">
        <f t="shared" si="33"/>
        <v>0</v>
      </c>
      <c r="V94" s="68"/>
      <c r="W94" s="68"/>
      <c r="X94" s="67">
        <f t="shared" si="34"/>
        <v>0</v>
      </c>
      <c r="Y94" s="67"/>
      <c r="Z94" s="67"/>
      <c r="AA94" s="67"/>
      <c r="AB94" s="67">
        <f t="shared" si="30"/>
        <v>0</v>
      </c>
      <c r="AC94" s="67"/>
      <c r="AD94" s="67"/>
      <c r="AE94" s="67">
        <f t="shared" si="22"/>
        <v>0</v>
      </c>
    </row>
    <row r="95" spans="1:31" s="16" customFormat="1" ht="24" customHeight="1" x14ac:dyDescent="0.25">
      <c r="A95" s="81" t="s">
        <v>263</v>
      </c>
      <c r="B95" s="82" t="s">
        <v>135</v>
      </c>
      <c r="C95" s="67">
        <f t="shared" si="19"/>
        <v>79336</v>
      </c>
      <c r="D95" s="68">
        <v>8000</v>
      </c>
      <c r="E95" s="68"/>
      <c r="F95" s="68"/>
      <c r="G95" s="68"/>
      <c r="H95" s="68"/>
      <c r="I95" s="68"/>
      <c r="J95" s="68"/>
      <c r="K95" s="67">
        <f t="shared" si="18"/>
        <v>71336</v>
      </c>
      <c r="L95" s="68">
        <v>37076</v>
      </c>
      <c r="M95" s="68">
        <v>34260</v>
      </c>
      <c r="N95" s="67">
        <f t="shared" si="31"/>
        <v>2496.4159999999997</v>
      </c>
      <c r="O95" s="68">
        <v>2496.4159999999997</v>
      </c>
      <c r="P95" s="68">
        <f t="shared" si="32"/>
        <v>0</v>
      </c>
      <c r="Q95" s="68"/>
      <c r="R95" s="68"/>
      <c r="S95" s="68"/>
      <c r="T95" s="68"/>
      <c r="U95" s="67">
        <f t="shared" si="33"/>
        <v>0</v>
      </c>
      <c r="V95" s="68"/>
      <c r="W95" s="68"/>
      <c r="X95" s="67">
        <f t="shared" si="34"/>
        <v>0</v>
      </c>
      <c r="Y95" s="67"/>
      <c r="Z95" s="67"/>
      <c r="AA95" s="67"/>
      <c r="AB95" s="67">
        <f t="shared" si="30"/>
        <v>3.1466370878289802</v>
      </c>
      <c r="AC95" s="67">
        <f t="shared" si="30"/>
        <v>31.205199999999998</v>
      </c>
      <c r="AD95" s="67"/>
      <c r="AE95" s="67">
        <f t="shared" si="22"/>
        <v>0</v>
      </c>
    </row>
    <row r="96" spans="1:31" s="16" customFormat="1" ht="24.75" customHeight="1" x14ac:dyDescent="0.25">
      <c r="A96" s="81" t="s">
        <v>265</v>
      </c>
      <c r="B96" s="82" t="s">
        <v>601</v>
      </c>
      <c r="C96" s="67">
        <f t="shared" si="19"/>
        <v>130225</v>
      </c>
      <c r="D96" s="68">
        <v>56600</v>
      </c>
      <c r="E96" s="68"/>
      <c r="F96" s="68"/>
      <c r="G96" s="68"/>
      <c r="H96" s="68"/>
      <c r="I96" s="68"/>
      <c r="J96" s="68"/>
      <c r="K96" s="67">
        <f t="shared" si="18"/>
        <v>73625</v>
      </c>
      <c r="L96" s="68">
        <v>45341</v>
      </c>
      <c r="M96" s="68">
        <v>28284</v>
      </c>
      <c r="N96" s="67">
        <f t="shared" si="31"/>
        <v>69018.001726999995</v>
      </c>
      <c r="O96" s="68">
        <v>69018.001726999995</v>
      </c>
      <c r="P96" s="68">
        <f t="shared" si="32"/>
        <v>0</v>
      </c>
      <c r="Q96" s="68"/>
      <c r="R96" s="68"/>
      <c r="S96" s="68"/>
      <c r="T96" s="68"/>
      <c r="U96" s="67">
        <f t="shared" si="33"/>
        <v>0</v>
      </c>
      <c r="V96" s="68"/>
      <c r="W96" s="68"/>
      <c r="X96" s="67">
        <f t="shared" si="34"/>
        <v>0</v>
      </c>
      <c r="Y96" s="67"/>
      <c r="Z96" s="67"/>
      <c r="AA96" s="67"/>
      <c r="AB96" s="67">
        <f t="shared" si="30"/>
        <v>52.999041449030521</v>
      </c>
      <c r="AC96" s="67">
        <f t="shared" si="30"/>
        <v>121.93993237985865</v>
      </c>
      <c r="AD96" s="67"/>
      <c r="AE96" s="67">
        <f t="shared" si="22"/>
        <v>0</v>
      </c>
    </row>
    <row r="97" spans="1:38" s="16" customFormat="1" ht="24.75" customHeight="1" x14ac:dyDescent="0.25">
      <c r="A97" s="81" t="s">
        <v>267</v>
      </c>
      <c r="B97" s="82" t="s">
        <v>148</v>
      </c>
      <c r="C97" s="67">
        <f t="shared" si="19"/>
        <v>199479.408</v>
      </c>
      <c r="D97" s="68">
        <v>7460.4080000000004</v>
      </c>
      <c r="E97" s="68"/>
      <c r="F97" s="68"/>
      <c r="G97" s="68"/>
      <c r="H97" s="68"/>
      <c r="I97" s="68"/>
      <c r="J97" s="68"/>
      <c r="K97" s="67">
        <f t="shared" si="18"/>
        <v>192019</v>
      </c>
      <c r="L97" s="68">
        <v>124892</v>
      </c>
      <c r="M97" s="68">
        <v>67127</v>
      </c>
      <c r="N97" s="67">
        <f t="shared" si="31"/>
        <v>29701.556485000001</v>
      </c>
      <c r="O97" s="68">
        <v>28516.166485000002</v>
      </c>
      <c r="P97" s="68">
        <f t="shared" si="32"/>
        <v>0</v>
      </c>
      <c r="Q97" s="68"/>
      <c r="R97" s="68"/>
      <c r="S97" s="68"/>
      <c r="T97" s="68"/>
      <c r="U97" s="67">
        <f t="shared" si="33"/>
        <v>1185.3900000000001</v>
      </c>
      <c r="V97" s="68">
        <v>1185.3900000000001</v>
      </c>
      <c r="W97" s="68"/>
      <c r="X97" s="67">
        <f t="shared" si="34"/>
        <v>0</v>
      </c>
      <c r="Y97" s="67"/>
      <c r="Z97" s="67"/>
      <c r="AA97" s="67"/>
      <c r="AB97" s="67">
        <f t="shared" si="30"/>
        <v>14.889535106801601</v>
      </c>
      <c r="AC97" s="67">
        <f t="shared" si="30"/>
        <v>382.23333743945369</v>
      </c>
      <c r="AD97" s="67"/>
      <c r="AE97" s="67">
        <f t="shared" si="22"/>
        <v>0.6173295350980893</v>
      </c>
    </row>
    <row r="98" spans="1:38" s="16" customFormat="1" ht="24.75" customHeight="1" x14ac:dyDescent="0.25">
      <c r="A98" s="81" t="s">
        <v>269</v>
      </c>
      <c r="B98" s="82" t="s">
        <v>147</v>
      </c>
      <c r="C98" s="67">
        <f t="shared" si="19"/>
        <v>112222</v>
      </c>
      <c r="D98" s="68"/>
      <c r="E98" s="68"/>
      <c r="F98" s="68"/>
      <c r="G98" s="68"/>
      <c r="H98" s="68"/>
      <c r="I98" s="68"/>
      <c r="J98" s="68"/>
      <c r="K98" s="67">
        <f t="shared" si="18"/>
        <v>112222</v>
      </c>
      <c r="L98" s="68">
        <v>68265</v>
      </c>
      <c r="M98" s="68">
        <v>43957</v>
      </c>
      <c r="N98" s="67">
        <f t="shared" si="31"/>
        <v>29302.983295999999</v>
      </c>
      <c r="O98" s="68">
        <v>29302.983295999999</v>
      </c>
      <c r="P98" s="68">
        <f t="shared" si="32"/>
        <v>0</v>
      </c>
      <c r="Q98" s="68"/>
      <c r="R98" s="68"/>
      <c r="S98" s="68"/>
      <c r="T98" s="68"/>
      <c r="U98" s="67">
        <f t="shared" si="33"/>
        <v>0</v>
      </c>
      <c r="V98" s="68"/>
      <c r="W98" s="68"/>
      <c r="X98" s="67">
        <f t="shared" si="34"/>
        <v>0</v>
      </c>
      <c r="Y98" s="67"/>
      <c r="Z98" s="67"/>
      <c r="AA98" s="67"/>
      <c r="AB98" s="67">
        <f t="shared" si="30"/>
        <v>26.111620979843522</v>
      </c>
      <c r="AC98" s="67"/>
      <c r="AD98" s="67"/>
      <c r="AE98" s="67">
        <f t="shared" si="22"/>
        <v>0</v>
      </c>
    </row>
    <row r="99" spans="1:38" s="16" customFormat="1" ht="24.75" customHeight="1" x14ac:dyDescent="0.25">
      <c r="A99" s="81" t="s">
        <v>271</v>
      </c>
      <c r="B99" s="82" t="s">
        <v>164</v>
      </c>
      <c r="C99" s="67">
        <f t="shared" si="19"/>
        <v>80961.437999999995</v>
      </c>
      <c r="D99" s="68">
        <v>3938.4380000000001</v>
      </c>
      <c r="E99" s="68"/>
      <c r="F99" s="68"/>
      <c r="G99" s="68"/>
      <c r="H99" s="68"/>
      <c r="I99" s="68"/>
      <c r="J99" s="68"/>
      <c r="K99" s="67">
        <f t="shared" si="18"/>
        <v>77023</v>
      </c>
      <c r="L99" s="68">
        <v>40695</v>
      </c>
      <c r="M99" s="68">
        <v>36328</v>
      </c>
      <c r="N99" s="67">
        <f t="shared" si="31"/>
        <v>3938</v>
      </c>
      <c r="O99" s="68">
        <v>3938</v>
      </c>
      <c r="P99" s="68">
        <f t="shared" si="32"/>
        <v>0</v>
      </c>
      <c r="Q99" s="68"/>
      <c r="R99" s="68"/>
      <c r="S99" s="68"/>
      <c r="T99" s="68"/>
      <c r="U99" s="67">
        <f t="shared" si="33"/>
        <v>0</v>
      </c>
      <c r="V99" s="68"/>
      <c r="W99" s="68"/>
      <c r="X99" s="67">
        <f t="shared" si="34"/>
        <v>0</v>
      </c>
      <c r="Y99" s="67"/>
      <c r="Z99" s="67"/>
      <c r="AA99" s="67"/>
      <c r="AB99" s="67">
        <f t="shared" si="30"/>
        <v>4.8640440403244813</v>
      </c>
      <c r="AC99" s="67">
        <f t="shared" si="30"/>
        <v>99.988878839783695</v>
      </c>
      <c r="AD99" s="67"/>
      <c r="AE99" s="67">
        <f t="shared" si="22"/>
        <v>0</v>
      </c>
    </row>
    <row r="100" spans="1:38" s="16" customFormat="1" ht="24.75" customHeight="1" x14ac:dyDescent="0.25">
      <c r="A100" s="81" t="s">
        <v>273</v>
      </c>
      <c r="B100" s="82" t="s">
        <v>132</v>
      </c>
      <c r="C100" s="67">
        <f t="shared" si="19"/>
        <v>138337</v>
      </c>
      <c r="D100" s="68">
        <v>63000</v>
      </c>
      <c r="E100" s="68"/>
      <c r="F100" s="68"/>
      <c r="G100" s="68"/>
      <c r="H100" s="68"/>
      <c r="I100" s="68"/>
      <c r="J100" s="68"/>
      <c r="K100" s="67">
        <f t="shared" si="18"/>
        <v>75337</v>
      </c>
      <c r="L100" s="68">
        <v>49675</v>
      </c>
      <c r="M100" s="68">
        <v>25662</v>
      </c>
      <c r="N100" s="67">
        <f t="shared" si="31"/>
        <v>58494.868773000009</v>
      </c>
      <c r="O100" s="68">
        <v>58494.868773000009</v>
      </c>
      <c r="P100" s="68">
        <f t="shared" si="32"/>
        <v>0</v>
      </c>
      <c r="Q100" s="68"/>
      <c r="R100" s="68"/>
      <c r="S100" s="68"/>
      <c r="T100" s="68"/>
      <c r="U100" s="67">
        <f t="shared" si="33"/>
        <v>0</v>
      </c>
      <c r="V100" s="68"/>
      <c r="W100" s="68"/>
      <c r="X100" s="67">
        <f t="shared" si="34"/>
        <v>0</v>
      </c>
      <c r="Y100" s="67"/>
      <c r="Z100" s="67"/>
      <c r="AA100" s="67"/>
      <c r="AB100" s="67">
        <f t="shared" si="30"/>
        <v>42.284326516405599</v>
      </c>
      <c r="AC100" s="67">
        <f t="shared" si="30"/>
        <v>92.848998052380963</v>
      </c>
      <c r="AD100" s="67"/>
      <c r="AE100" s="67">
        <f t="shared" si="22"/>
        <v>0</v>
      </c>
    </row>
    <row r="101" spans="1:38" s="36" customFormat="1" ht="24.75" customHeight="1" x14ac:dyDescent="0.25">
      <c r="A101" s="81" t="s">
        <v>274</v>
      </c>
      <c r="B101" s="82" t="s">
        <v>670</v>
      </c>
      <c r="C101" s="67">
        <f>D101+E101+I101+J101+K101</f>
        <v>125842</v>
      </c>
      <c r="D101" s="68"/>
      <c r="E101" s="68"/>
      <c r="F101" s="68"/>
      <c r="G101" s="68"/>
      <c r="H101" s="68"/>
      <c r="I101" s="68"/>
      <c r="J101" s="68"/>
      <c r="K101" s="67">
        <f t="shared" si="18"/>
        <v>125842</v>
      </c>
      <c r="L101" s="68">
        <v>84492</v>
      </c>
      <c r="M101" s="68">
        <v>41350</v>
      </c>
      <c r="N101" s="67">
        <f t="shared" ref="N101:N102" si="35">O101+P101+S101+T101+U101+X101</f>
        <v>0</v>
      </c>
      <c r="O101" s="68"/>
      <c r="P101" s="68">
        <f t="shared" si="32"/>
        <v>0</v>
      </c>
      <c r="Q101" s="68"/>
      <c r="R101" s="68"/>
      <c r="S101" s="68"/>
      <c r="T101" s="68"/>
      <c r="U101" s="67">
        <f t="shared" si="33"/>
        <v>0</v>
      </c>
      <c r="V101" s="68"/>
      <c r="W101" s="68"/>
      <c r="X101" s="67">
        <f t="shared" si="34"/>
        <v>0</v>
      </c>
      <c r="Y101" s="67"/>
      <c r="Z101" s="67"/>
      <c r="AA101" s="67"/>
      <c r="AB101" s="67">
        <f t="shared" si="30"/>
        <v>0</v>
      </c>
      <c r="AC101" s="67"/>
      <c r="AD101" s="67"/>
      <c r="AE101" s="67">
        <f t="shared" si="22"/>
        <v>0</v>
      </c>
    </row>
    <row r="102" spans="1:38" s="16" customFormat="1" ht="24.75" customHeight="1" x14ac:dyDescent="0.25">
      <c r="A102" s="81" t="s">
        <v>276</v>
      </c>
      <c r="B102" s="82" t="s">
        <v>149</v>
      </c>
      <c r="C102" s="67">
        <f t="shared" si="19"/>
        <v>142581</v>
      </c>
      <c r="D102" s="68">
        <v>28500</v>
      </c>
      <c r="E102" s="68"/>
      <c r="F102" s="68"/>
      <c r="G102" s="68"/>
      <c r="H102" s="68"/>
      <c r="I102" s="68"/>
      <c r="J102" s="68"/>
      <c r="K102" s="67">
        <f t="shared" si="18"/>
        <v>114081</v>
      </c>
      <c r="L102" s="68">
        <v>75361</v>
      </c>
      <c r="M102" s="68">
        <v>38720</v>
      </c>
      <c r="N102" s="67">
        <f t="shared" si="35"/>
        <v>36032.49</v>
      </c>
      <c r="O102" s="68">
        <v>36032.49</v>
      </c>
      <c r="P102" s="68">
        <f t="shared" si="32"/>
        <v>0</v>
      </c>
      <c r="Q102" s="68"/>
      <c r="R102" s="68"/>
      <c r="S102" s="68"/>
      <c r="T102" s="68"/>
      <c r="U102" s="67">
        <f t="shared" si="33"/>
        <v>0</v>
      </c>
      <c r="V102" s="68"/>
      <c r="W102" s="68"/>
      <c r="X102" s="67">
        <f t="shared" si="34"/>
        <v>0</v>
      </c>
      <c r="Y102" s="67"/>
      <c r="Z102" s="67"/>
      <c r="AA102" s="67"/>
      <c r="AB102" s="67">
        <f t="shared" si="30"/>
        <v>25.271592989248216</v>
      </c>
      <c r="AC102" s="67">
        <f t="shared" si="30"/>
        <v>126.42978947368421</v>
      </c>
      <c r="AD102" s="67"/>
      <c r="AE102" s="67">
        <f t="shared" si="22"/>
        <v>0</v>
      </c>
    </row>
    <row r="103" spans="1:38" s="16" customFormat="1" ht="24.75" customHeight="1" x14ac:dyDescent="0.25">
      <c r="A103" s="300">
        <v>11</v>
      </c>
      <c r="B103" s="82" t="s">
        <v>375</v>
      </c>
      <c r="C103" s="67">
        <f t="shared" si="19"/>
        <v>601.91700000000003</v>
      </c>
      <c r="D103" s="68">
        <v>601.91700000000003</v>
      </c>
      <c r="E103" s="68"/>
      <c r="F103" s="68"/>
      <c r="G103" s="68"/>
      <c r="H103" s="68"/>
      <c r="I103" s="68"/>
      <c r="J103" s="68"/>
      <c r="K103" s="67">
        <f t="shared" si="18"/>
        <v>0</v>
      </c>
      <c r="L103" s="68"/>
      <c r="M103" s="68"/>
      <c r="N103" s="67"/>
      <c r="O103" s="68"/>
      <c r="P103" s="68">
        <f t="shared" si="32"/>
        <v>0</v>
      </c>
      <c r="Q103" s="68"/>
      <c r="R103" s="68"/>
      <c r="S103" s="68"/>
      <c r="T103" s="68"/>
      <c r="U103" s="67"/>
      <c r="V103" s="68"/>
      <c r="W103" s="68"/>
      <c r="X103" s="67"/>
      <c r="Y103" s="67"/>
      <c r="Z103" s="67"/>
      <c r="AA103" s="67"/>
      <c r="AB103" s="67"/>
      <c r="AC103" s="67"/>
      <c r="AD103" s="67"/>
      <c r="AE103" s="67"/>
    </row>
    <row r="104" spans="1:38" s="16" customFormat="1" ht="24.75" customHeight="1" x14ac:dyDescent="0.25">
      <c r="A104" s="81" t="s">
        <v>25</v>
      </c>
      <c r="B104" s="83" t="s">
        <v>376</v>
      </c>
      <c r="C104" s="61">
        <f>D104+E104+I104+J104+K104</f>
        <v>65250.86</v>
      </c>
      <c r="D104" s="84"/>
      <c r="E104" s="84">
        <f>E105+E106+E107</f>
        <v>65250.86</v>
      </c>
      <c r="F104" s="84">
        <f>F105+F106+F107</f>
        <v>65250.86</v>
      </c>
      <c r="G104" s="84"/>
      <c r="H104" s="84"/>
      <c r="I104" s="84"/>
      <c r="J104" s="84"/>
      <c r="K104" s="61"/>
      <c r="L104" s="84"/>
      <c r="M104" s="84"/>
      <c r="N104" s="61">
        <f>N105+N106+N107</f>
        <v>0</v>
      </c>
      <c r="O104" s="61">
        <f t="shared" ref="O104:AB104" si="36">O105+O106+O107</f>
        <v>0</v>
      </c>
      <c r="P104" s="61">
        <f t="shared" si="36"/>
        <v>0</v>
      </c>
      <c r="Q104" s="61">
        <f t="shared" si="36"/>
        <v>0</v>
      </c>
      <c r="R104" s="61">
        <f t="shared" si="36"/>
        <v>0</v>
      </c>
      <c r="S104" s="61">
        <f t="shared" si="36"/>
        <v>0</v>
      </c>
      <c r="T104" s="61">
        <f t="shared" si="36"/>
        <v>0</v>
      </c>
      <c r="U104" s="61">
        <f t="shared" si="36"/>
        <v>0</v>
      </c>
      <c r="V104" s="61">
        <f t="shared" si="36"/>
        <v>0</v>
      </c>
      <c r="W104" s="61">
        <f t="shared" si="36"/>
        <v>0</v>
      </c>
      <c r="X104" s="61">
        <f t="shared" si="36"/>
        <v>0</v>
      </c>
      <c r="Y104" s="61">
        <f t="shared" si="36"/>
        <v>0</v>
      </c>
      <c r="Z104" s="61">
        <f t="shared" si="36"/>
        <v>0</v>
      </c>
      <c r="AA104" s="61">
        <f t="shared" si="36"/>
        <v>0</v>
      </c>
      <c r="AB104" s="61">
        <f t="shared" si="36"/>
        <v>0</v>
      </c>
      <c r="AC104" s="67"/>
      <c r="AD104" s="67">
        <f t="shared" si="16"/>
        <v>0</v>
      </c>
      <c r="AE104" s="67"/>
    </row>
    <row r="105" spans="1:38" s="16" customFormat="1" ht="24.75" customHeight="1" x14ac:dyDescent="0.25">
      <c r="A105" s="81" t="s">
        <v>259</v>
      </c>
      <c r="B105" s="82" t="s">
        <v>377</v>
      </c>
      <c r="C105" s="67">
        <f>D105+E105+I105+J105+K105</f>
        <v>8000</v>
      </c>
      <c r="D105" s="68"/>
      <c r="E105" s="68">
        <f>F105+G105+H105</f>
        <v>8000</v>
      </c>
      <c r="F105" s="68">
        <v>8000</v>
      </c>
      <c r="G105" s="84"/>
      <c r="H105" s="84"/>
      <c r="I105" s="84"/>
      <c r="J105" s="84"/>
      <c r="K105" s="61"/>
      <c r="L105" s="84"/>
      <c r="M105" s="84"/>
      <c r="N105" s="61"/>
      <c r="O105" s="84"/>
      <c r="P105" s="84">
        <f t="shared" si="32"/>
        <v>0</v>
      </c>
      <c r="Q105" s="84"/>
      <c r="R105" s="84"/>
      <c r="S105" s="84"/>
      <c r="T105" s="84"/>
      <c r="U105" s="61"/>
      <c r="V105" s="84"/>
      <c r="W105" s="84"/>
      <c r="X105" s="61"/>
      <c r="Y105" s="61"/>
      <c r="Z105" s="61"/>
      <c r="AA105" s="61"/>
      <c r="AB105" s="67"/>
      <c r="AC105" s="67"/>
      <c r="AD105" s="67">
        <f t="shared" si="16"/>
        <v>0</v>
      </c>
      <c r="AE105" s="67"/>
    </row>
    <row r="106" spans="1:38" s="16" customFormat="1" ht="24.75" customHeight="1" x14ac:dyDescent="0.25">
      <c r="A106" s="81" t="s">
        <v>261</v>
      </c>
      <c r="B106" s="82" t="s">
        <v>378</v>
      </c>
      <c r="C106" s="67">
        <f t="shared" ref="C106:C107" si="37">D106+E106+I106+J106+K106</f>
        <v>7000</v>
      </c>
      <c r="D106" s="68"/>
      <c r="E106" s="68">
        <f t="shared" ref="E106:E107" si="38">F106+G106+H106</f>
        <v>7000</v>
      </c>
      <c r="F106" s="68">
        <v>7000</v>
      </c>
      <c r="G106" s="84"/>
      <c r="H106" s="84"/>
      <c r="I106" s="84"/>
      <c r="J106" s="84"/>
      <c r="K106" s="61"/>
      <c r="L106" s="84"/>
      <c r="M106" s="84"/>
      <c r="N106" s="61"/>
      <c r="O106" s="84"/>
      <c r="P106" s="84">
        <f t="shared" si="32"/>
        <v>0</v>
      </c>
      <c r="Q106" s="84"/>
      <c r="R106" s="84"/>
      <c r="S106" s="84"/>
      <c r="T106" s="84"/>
      <c r="U106" s="61"/>
      <c r="V106" s="84"/>
      <c r="W106" s="84"/>
      <c r="X106" s="61"/>
      <c r="Y106" s="61"/>
      <c r="Z106" s="61"/>
      <c r="AA106" s="61"/>
      <c r="AB106" s="67"/>
      <c r="AC106" s="67"/>
      <c r="AD106" s="67">
        <f t="shared" si="16"/>
        <v>0</v>
      </c>
      <c r="AE106" s="67"/>
    </row>
    <row r="107" spans="1:38" s="16" customFormat="1" ht="24.75" customHeight="1" x14ac:dyDescent="0.25">
      <c r="A107" s="81" t="s">
        <v>263</v>
      </c>
      <c r="B107" s="82" t="s">
        <v>379</v>
      </c>
      <c r="C107" s="67">
        <f t="shared" si="37"/>
        <v>50250.86</v>
      </c>
      <c r="D107" s="68"/>
      <c r="E107" s="68">
        <f t="shared" si="38"/>
        <v>50250.86</v>
      </c>
      <c r="F107" s="68">
        <v>50250.86</v>
      </c>
      <c r="G107" s="84"/>
      <c r="H107" s="84"/>
      <c r="I107" s="84"/>
      <c r="J107" s="84"/>
      <c r="K107" s="61"/>
      <c r="L107" s="84"/>
      <c r="M107" s="84"/>
      <c r="N107" s="61"/>
      <c r="O107" s="84"/>
      <c r="P107" s="84">
        <f t="shared" si="32"/>
        <v>0</v>
      </c>
      <c r="Q107" s="84"/>
      <c r="R107" s="84"/>
      <c r="S107" s="84"/>
      <c r="T107" s="84"/>
      <c r="U107" s="61"/>
      <c r="V107" s="84"/>
      <c r="W107" s="84"/>
      <c r="X107" s="61"/>
      <c r="Y107" s="61"/>
      <c r="Z107" s="61"/>
      <c r="AA107" s="61"/>
      <c r="AB107" s="67"/>
      <c r="AC107" s="67"/>
      <c r="AD107" s="67">
        <f t="shared" si="16"/>
        <v>0</v>
      </c>
      <c r="AE107" s="67"/>
    </row>
    <row r="108" spans="1:38" s="16" customFormat="1" ht="70.5" customHeight="1" x14ac:dyDescent="0.25">
      <c r="A108" s="85" t="s">
        <v>29</v>
      </c>
      <c r="B108" s="86" t="s">
        <v>542</v>
      </c>
      <c r="C108" s="61">
        <f t="shared" si="19"/>
        <v>2200</v>
      </c>
      <c r="D108" s="84"/>
      <c r="E108" s="84"/>
      <c r="F108" s="84"/>
      <c r="G108" s="84"/>
      <c r="H108" s="84"/>
      <c r="I108" s="84">
        <v>2200</v>
      </c>
      <c r="J108" s="84"/>
      <c r="K108" s="61">
        <f t="shared" si="18"/>
        <v>0</v>
      </c>
      <c r="L108" s="84"/>
      <c r="M108" s="84"/>
      <c r="N108" s="61">
        <f>O108+P108+S108+T108+U108+X108</f>
        <v>10232.433849999999</v>
      </c>
      <c r="O108" s="84"/>
      <c r="P108" s="84">
        <f>Q108+R108</f>
        <v>0</v>
      </c>
      <c r="Q108" s="84"/>
      <c r="R108" s="84"/>
      <c r="S108" s="84">
        <f>'[1]bieu 53'!G25+'[1]bieu 53'!G29</f>
        <v>10232.433849999999</v>
      </c>
      <c r="T108" s="84"/>
      <c r="U108" s="61">
        <f t="shared" ref="U108:U116" si="39">V108+W108</f>
        <v>0</v>
      </c>
      <c r="V108" s="84"/>
      <c r="W108" s="84"/>
      <c r="X108" s="61">
        <f>Y108+Z108</f>
        <v>0</v>
      </c>
      <c r="Y108" s="84"/>
      <c r="Z108" s="84"/>
      <c r="AA108" s="84"/>
      <c r="AB108" s="67">
        <f t="shared" si="30"/>
        <v>465.11062954545451</v>
      </c>
      <c r="AC108" s="67"/>
      <c r="AD108" s="67"/>
      <c r="AE108" s="67"/>
    </row>
    <row r="109" spans="1:38" s="36" customFormat="1" x14ac:dyDescent="0.25">
      <c r="A109" s="85" t="s">
        <v>56</v>
      </c>
      <c r="B109" s="86" t="s">
        <v>380</v>
      </c>
      <c r="C109" s="61">
        <f t="shared" si="19"/>
        <v>1000</v>
      </c>
      <c r="D109" s="84"/>
      <c r="E109" s="84"/>
      <c r="F109" s="84"/>
      <c r="G109" s="84"/>
      <c r="H109" s="84"/>
      <c r="I109" s="84"/>
      <c r="J109" s="61">
        <v>1000</v>
      </c>
      <c r="K109" s="61">
        <f t="shared" si="18"/>
        <v>0</v>
      </c>
      <c r="L109" s="84"/>
      <c r="M109" s="84"/>
      <c r="N109" s="61">
        <f t="shared" ref="N109:N115" si="40">O109+P109+S109+T109+U109+X109</f>
        <v>1000</v>
      </c>
      <c r="O109" s="84"/>
      <c r="P109" s="84">
        <f>Q109+R109</f>
        <v>1000</v>
      </c>
      <c r="Q109" s="84"/>
      <c r="R109" s="84">
        <v>1000</v>
      </c>
      <c r="S109" s="84"/>
      <c r="T109" s="84"/>
      <c r="U109" s="61">
        <f t="shared" si="39"/>
        <v>0</v>
      </c>
      <c r="V109" s="84"/>
      <c r="W109" s="84"/>
      <c r="X109" s="61">
        <f>Y109+Z109</f>
        <v>0</v>
      </c>
      <c r="Y109" s="84"/>
      <c r="Z109" s="84"/>
      <c r="AA109" s="84"/>
      <c r="AB109" s="67">
        <f t="shared" si="30"/>
        <v>100</v>
      </c>
      <c r="AC109" s="67"/>
      <c r="AD109" s="67"/>
      <c r="AE109" s="67"/>
    </row>
    <row r="110" spans="1:38" s="36" customFormat="1" ht="33.75" customHeight="1" x14ac:dyDescent="0.25">
      <c r="A110" s="85" t="s">
        <v>73</v>
      </c>
      <c r="B110" s="86" t="s">
        <v>381</v>
      </c>
      <c r="C110" s="61">
        <f>D110+J110+I110+E110+K110</f>
        <v>74046.002868228534</v>
      </c>
      <c r="D110" s="84"/>
      <c r="F110" s="84"/>
      <c r="G110" s="84"/>
      <c r="H110" s="84"/>
      <c r="I110" s="84"/>
      <c r="J110" s="84">
        <v>74046.002868228534</v>
      </c>
      <c r="K110" s="61">
        <f t="shared" si="18"/>
        <v>0</v>
      </c>
      <c r="L110" s="84"/>
      <c r="M110" s="84"/>
      <c r="N110" s="61">
        <f t="shared" si="40"/>
        <v>0</v>
      </c>
      <c r="O110" s="84"/>
      <c r="P110" s="84">
        <f t="shared" ref="P110:P116" si="41">Q110+R110</f>
        <v>0</v>
      </c>
      <c r="Q110" s="84"/>
      <c r="R110" s="84"/>
      <c r="S110" s="84"/>
      <c r="T110" s="84"/>
      <c r="U110" s="61">
        <f t="shared" si="39"/>
        <v>0</v>
      </c>
      <c r="V110" s="84"/>
      <c r="W110" s="84"/>
      <c r="X110" s="61">
        <f>Y110+Z110</f>
        <v>0</v>
      </c>
      <c r="Y110" s="84"/>
      <c r="Z110" s="84"/>
      <c r="AA110" s="84"/>
      <c r="AB110" s="67">
        <f t="shared" si="30"/>
        <v>0</v>
      </c>
      <c r="AC110" s="67"/>
      <c r="AD110" s="67"/>
      <c r="AE110" s="67"/>
    </row>
    <row r="111" spans="1:38" s="36" customFormat="1" ht="34.5" customHeight="1" x14ac:dyDescent="0.25">
      <c r="A111" s="85" t="s">
        <v>74</v>
      </c>
      <c r="B111" s="86" t="s">
        <v>388</v>
      </c>
      <c r="C111" s="61">
        <f t="shared" ref="C111:C116" si="42">D111+J111+I111+E111+K111</f>
        <v>77200</v>
      </c>
      <c r="D111" s="84"/>
      <c r="F111" s="84"/>
      <c r="G111" s="84"/>
      <c r="H111" s="84"/>
      <c r="I111" s="84"/>
      <c r="J111" s="84">
        <v>77200</v>
      </c>
      <c r="K111" s="61">
        <f t="shared" si="18"/>
        <v>0</v>
      </c>
      <c r="L111" s="84"/>
      <c r="M111" s="84"/>
      <c r="N111" s="61">
        <f t="shared" si="40"/>
        <v>12206.46313</v>
      </c>
      <c r="O111" s="84">
        <v>12206.46313</v>
      </c>
      <c r="P111" s="84">
        <f t="shared" si="41"/>
        <v>0</v>
      </c>
      <c r="Q111" s="84"/>
      <c r="R111" s="84"/>
      <c r="S111" s="84"/>
      <c r="T111" s="84"/>
      <c r="U111" s="61">
        <f t="shared" si="39"/>
        <v>0</v>
      </c>
      <c r="V111" s="84"/>
      <c r="W111" s="84"/>
      <c r="X111" s="61">
        <f t="shared" ref="X111:X112" si="43">Y111+Z111</f>
        <v>0</v>
      </c>
      <c r="Y111" s="84"/>
      <c r="Z111" s="84"/>
      <c r="AA111" s="84"/>
      <c r="AB111" s="67">
        <f t="shared" si="30"/>
        <v>15.811480738341968</v>
      </c>
      <c r="AC111" s="67"/>
      <c r="AD111" s="67"/>
      <c r="AE111" s="67"/>
      <c r="AI111" s="26"/>
      <c r="AJ111" s="26"/>
      <c r="AK111" s="26"/>
      <c r="AL111" s="26"/>
    </row>
    <row r="112" spans="1:38" s="36" customFormat="1" ht="37.5" customHeight="1" x14ac:dyDescent="0.25">
      <c r="A112" s="85" t="s">
        <v>383</v>
      </c>
      <c r="B112" s="86" t="s">
        <v>600</v>
      </c>
      <c r="C112" s="61">
        <f t="shared" si="42"/>
        <v>1178860</v>
      </c>
      <c r="D112" s="84"/>
      <c r="F112" s="84"/>
      <c r="G112" s="84"/>
      <c r="H112" s="84"/>
      <c r="I112" s="84"/>
      <c r="J112" s="84">
        <v>1178860</v>
      </c>
      <c r="K112" s="61">
        <f t="shared" si="18"/>
        <v>0</v>
      </c>
      <c r="L112" s="84"/>
      <c r="M112" s="84"/>
      <c r="N112" s="61">
        <f t="shared" si="40"/>
        <v>109404.806157</v>
      </c>
      <c r="O112" s="84">
        <v>109404.806157</v>
      </c>
      <c r="P112" s="84">
        <f t="shared" si="41"/>
        <v>0</v>
      </c>
      <c r="Q112" s="84"/>
      <c r="R112" s="84"/>
      <c r="S112" s="84"/>
      <c r="T112" s="84"/>
      <c r="U112" s="61">
        <f t="shared" si="39"/>
        <v>0</v>
      </c>
      <c r="V112" s="84"/>
      <c r="W112" s="84"/>
      <c r="X112" s="61">
        <f t="shared" si="43"/>
        <v>0</v>
      </c>
      <c r="Y112" s="84"/>
      <c r="Z112" s="84"/>
      <c r="AA112" s="84"/>
      <c r="AB112" s="67">
        <f t="shared" si="30"/>
        <v>9.2805597065809344</v>
      </c>
      <c r="AC112" s="67"/>
      <c r="AD112" s="67"/>
      <c r="AE112" s="67"/>
      <c r="AI112" s="26"/>
      <c r="AJ112" s="26"/>
      <c r="AK112" s="26"/>
      <c r="AL112" s="26"/>
    </row>
    <row r="113" spans="1:38" s="36" customFormat="1" ht="39.75" customHeight="1" x14ac:dyDescent="0.25">
      <c r="A113" s="85" t="s">
        <v>384</v>
      </c>
      <c r="B113" s="86" t="s">
        <v>544</v>
      </c>
      <c r="C113" s="61">
        <f t="shared" si="42"/>
        <v>0</v>
      </c>
      <c r="D113" s="84"/>
      <c r="F113" s="84"/>
      <c r="G113" s="84"/>
      <c r="H113" s="84"/>
      <c r="I113" s="84"/>
      <c r="J113" s="84"/>
      <c r="K113" s="61"/>
      <c r="L113" s="84"/>
      <c r="M113" s="84"/>
      <c r="N113" s="61">
        <f t="shared" si="40"/>
        <v>23104</v>
      </c>
      <c r="O113" s="84"/>
      <c r="P113" s="84">
        <f t="shared" si="41"/>
        <v>23104</v>
      </c>
      <c r="Q113" s="84"/>
      <c r="R113" s="84">
        <v>23104</v>
      </c>
      <c r="S113" s="84"/>
      <c r="T113" s="84"/>
      <c r="U113" s="61"/>
      <c r="V113" s="84"/>
      <c r="W113" s="84"/>
      <c r="X113" s="61"/>
      <c r="Y113" s="84"/>
      <c r="Z113" s="84"/>
      <c r="AA113" s="84"/>
      <c r="AB113" s="67"/>
      <c r="AC113" s="67"/>
      <c r="AD113" s="67"/>
      <c r="AE113" s="67"/>
      <c r="AI113" s="26"/>
      <c r="AJ113" s="26"/>
      <c r="AK113" s="26"/>
      <c r="AL113" s="26"/>
    </row>
    <row r="114" spans="1:38" s="36" customFormat="1" ht="39.75" customHeight="1" x14ac:dyDescent="0.25">
      <c r="A114" s="87" t="s">
        <v>509</v>
      </c>
      <c r="B114" s="86" t="s">
        <v>671</v>
      </c>
      <c r="C114" s="61">
        <f t="shared" si="42"/>
        <v>0</v>
      </c>
      <c r="D114" s="84"/>
      <c r="E114" s="84"/>
      <c r="F114" s="84"/>
      <c r="G114" s="84"/>
      <c r="H114" s="84"/>
      <c r="I114" s="84"/>
      <c r="J114" s="61"/>
      <c r="K114" s="61">
        <f t="shared" si="18"/>
        <v>0</v>
      </c>
      <c r="L114" s="84"/>
      <c r="M114" s="84"/>
      <c r="N114" s="61">
        <f t="shared" si="40"/>
        <v>3815518.1447020001</v>
      </c>
      <c r="O114" s="84"/>
      <c r="P114" s="84">
        <f t="shared" si="41"/>
        <v>0</v>
      </c>
      <c r="Q114" s="84"/>
      <c r="R114" s="84"/>
      <c r="S114" s="84"/>
      <c r="T114" s="84">
        <v>3815518.1447020001</v>
      </c>
      <c r="U114" s="61">
        <f t="shared" si="39"/>
        <v>0</v>
      </c>
      <c r="V114" s="84"/>
      <c r="W114" s="84"/>
      <c r="X114" s="61"/>
      <c r="Y114" s="84"/>
      <c r="Z114" s="84"/>
      <c r="AA114" s="84"/>
      <c r="AB114" s="67"/>
      <c r="AC114" s="67"/>
      <c r="AD114" s="67"/>
      <c r="AE114" s="67"/>
      <c r="AI114" s="26"/>
      <c r="AJ114" s="26"/>
      <c r="AK114" s="26"/>
      <c r="AL114" s="26"/>
    </row>
    <row r="115" spans="1:38" s="26" customFormat="1" ht="31.5" x14ac:dyDescent="0.25">
      <c r="A115" s="87" t="s">
        <v>545</v>
      </c>
      <c r="B115" s="88" t="s">
        <v>102</v>
      </c>
      <c r="C115" s="61">
        <f t="shared" si="42"/>
        <v>0</v>
      </c>
      <c r="D115" s="90"/>
      <c r="E115" s="90"/>
      <c r="F115" s="90"/>
      <c r="G115" s="90"/>
      <c r="H115" s="90"/>
      <c r="I115" s="90"/>
      <c r="J115" s="90"/>
      <c r="K115" s="89">
        <f t="shared" si="18"/>
        <v>0</v>
      </c>
      <c r="L115" s="90"/>
      <c r="M115" s="90"/>
      <c r="N115" s="61">
        <f t="shared" si="40"/>
        <v>2859544.5055379998</v>
      </c>
      <c r="O115" s="90"/>
      <c r="P115" s="90">
        <f t="shared" si="41"/>
        <v>0</v>
      </c>
      <c r="Q115" s="90"/>
      <c r="R115" s="90"/>
      <c r="S115" s="90"/>
      <c r="T115" s="90"/>
      <c r="U115" s="89">
        <f t="shared" si="39"/>
        <v>0</v>
      </c>
      <c r="V115" s="90"/>
      <c r="W115" s="90"/>
      <c r="X115" s="90">
        <f>'[1]bieu 53'!G65</f>
        <v>2859544.5055379998</v>
      </c>
      <c r="Y115" s="90"/>
      <c r="Z115" s="90"/>
      <c r="AA115" s="90"/>
      <c r="AB115" s="67"/>
      <c r="AC115" s="67"/>
      <c r="AD115" s="67"/>
      <c r="AE115" s="67"/>
      <c r="AF115" s="212"/>
    </row>
    <row r="116" spans="1:38" s="26" customFormat="1" ht="31.5" customHeight="1" x14ac:dyDescent="0.25">
      <c r="A116" s="91" t="s">
        <v>672</v>
      </c>
      <c r="B116" s="92" t="s">
        <v>226</v>
      </c>
      <c r="C116" s="93">
        <f t="shared" si="42"/>
        <v>0</v>
      </c>
      <c r="D116" s="94"/>
      <c r="E116" s="94"/>
      <c r="F116" s="94"/>
      <c r="G116" s="94"/>
      <c r="H116" s="94"/>
      <c r="I116" s="94"/>
      <c r="J116" s="94"/>
      <c r="K116" s="93">
        <f t="shared" si="18"/>
        <v>0</v>
      </c>
      <c r="L116" s="94"/>
      <c r="M116" s="94"/>
      <c r="N116" s="93">
        <f>O116+P116+S116+T116+U116+X116+AA116</f>
        <v>122849.305433</v>
      </c>
      <c r="O116" s="94"/>
      <c r="P116" s="94">
        <f t="shared" si="41"/>
        <v>0</v>
      </c>
      <c r="Q116" s="94"/>
      <c r="R116" s="94"/>
      <c r="S116" s="94"/>
      <c r="T116" s="94"/>
      <c r="U116" s="93">
        <f t="shared" si="39"/>
        <v>0</v>
      </c>
      <c r="V116" s="94"/>
      <c r="W116" s="94"/>
      <c r="X116" s="94"/>
      <c r="Y116" s="94"/>
      <c r="Z116" s="94"/>
      <c r="AA116" s="94">
        <f>'[1]bieu 53'!G66</f>
        <v>122849.305433</v>
      </c>
      <c r="AB116" s="299"/>
      <c r="AC116" s="299"/>
      <c r="AD116" s="299"/>
      <c r="AE116" s="299"/>
      <c r="AF116" s="212"/>
    </row>
  </sheetData>
  <sortState xmlns:xlrd2="http://schemas.microsoft.com/office/spreadsheetml/2017/richdata2" ref="A34:AD251">
    <sortCondition ref="B34:B251"/>
  </sortState>
  <mergeCells count="32">
    <mergeCell ref="AC1:AE1"/>
    <mergeCell ref="AB9:AB10"/>
    <mergeCell ref="AC9:AC10"/>
    <mergeCell ref="AD9:AD10"/>
    <mergeCell ref="AE9:AE10"/>
    <mergeCell ref="A4:AE4"/>
    <mergeCell ref="AB7:AC7"/>
    <mergeCell ref="AD7:AE7"/>
    <mergeCell ref="A8:A10"/>
    <mergeCell ref="C9:C10"/>
    <mergeCell ref="D9:D10"/>
    <mergeCell ref="E9:E10"/>
    <mergeCell ref="T9:T10"/>
    <mergeCell ref="U9:W9"/>
    <mergeCell ref="X9:X10"/>
    <mergeCell ref="Y9:Z9"/>
    <mergeCell ref="N8:X8"/>
    <mergeCell ref="A3:AE3"/>
    <mergeCell ref="C8:M8"/>
    <mergeCell ref="AB8:AE8"/>
    <mergeCell ref="K9:M9"/>
    <mergeCell ref="J9:J10"/>
    <mergeCell ref="G9:H9"/>
    <mergeCell ref="F9:F10"/>
    <mergeCell ref="B8:B10"/>
    <mergeCell ref="I9:I10"/>
    <mergeCell ref="AA9:AA10"/>
    <mergeCell ref="N9:N10"/>
    <mergeCell ref="O9:O10"/>
    <mergeCell ref="P9:P10"/>
    <mergeCell ref="Q9:R9"/>
    <mergeCell ref="S9:S10"/>
  </mergeCells>
  <phoneticPr fontId="54" type="noConversion"/>
  <dataValidations count="6">
    <dataValidation allowBlank="1" showInputMessage="1" showErrorMessage="1" prompt="Theo TT 343 BTC các lĩnh vực  Công an tỉnh, Bộ chỉ huy quân sự tỉnh; Bộ chỉ huy biên phòng tỉnh, Ban Chỉ đạo phân giới, cắm mổc tỉnh (Việt nam - Lào), Ban chỉ đạo phân giới, cắm mổc tỉnh (Viêt nam - Cam Pu Chia) không công khai QT" sqref="C65384 IY65384 SU65384 ACQ65384 AMM65384 AWI65384 BGE65384 BQA65384 BZW65384 CJS65384 CTO65384 DDK65384 DNG65384 DXC65384 EGY65384 EQU65384 FAQ65384 FKM65384 FUI65384 GEE65384 GOA65384 GXW65384 HHS65384 HRO65384 IBK65384 ILG65384 IVC65384 JEY65384 JOU65384 JYQ65384 KIM65384 KSI65384 LCE65384 LMA65384 LVW65384 MFS65384 MPO65384 MZK65384 NJG65384 NTC65384 OCY65384 OMU65384 OWQ65384 PGM65384 PQI65384 QAE65384 QKA65384 QTW65384 RDS65384 RNO65384 RXK65384 SHG65384 SRC65384 TAY65384 TKU65384 TUQ65384 UEM65384 UOI65384 UYE65384 VIA65384 VRW65384 WBS65384 WLO65384 WVK65384 C130920 IY130920 SU130920 ACQ130920 AMM130920 AWI130920 BGE130920 BQA130920 BZW130920 CJS130920 CTO130920 DDK130920 DNG130920 DXC130920 EGY130920 EQU130920 FAQ130920 FKM130920 FUI130920 GEE130920 GOA130920 GXW130920 HHS130920 HRO130920 IBK130920 ILG130920 IVC130920 JEY130920 JOU130920 JYQ130920 KIM130920 KSI130920 LCE130920 LMA130920 LVW130920 MFS130920 MPO130920 MZK130920 NJG130920 NTC130920 OCY130920 OMU130920 OWQ130920 PGM130920 PQI130920 QAE130920 QKA130920 QTW130920 RDS130920 RNO130920 RXK130920 SHG130920 SRC130920 TAY130920 TKU130920 TUQ130920 UEM130920 UOI130920 UYE130920 VIA130920 VRW130920 WBS130920 WLO130920 WVK130920 C196456 IY196456 SU196456 ACQ196456 AMM196456 AWI196456 BGE196456 BQA196456 BZW196456 CJS196456 CTO196456 DDK196456 DNG196456 DXC196456 EGY196456 EQU196456 FAQ196456 FKM196456 FUI196456 GEE196456 GOA196456 GXW196456 HHS196456 HRO196456 IBK196456 ILG196456 IVC196456 JEY196456 JOU196456 JYQ196456 KIM196456 KSI196456 LCE196456 LMA196456 LVW196456 MFS196456 MPO196456 MZK196456 NJG196456 NTC196456 OCY196456 OMU196456 OWQ196456 PGM196456 PQI196456 QAE196456 QKA196456 QTW196456 RDS196456 RNO196456 RXK196456 SHG196456 SRC196456 TAY196456 TKU196456 TUQ196456 UEM196456 UOI196456 UYE196456 VIA196456 VRW196456 WBS196456 WLO196456 WVK196456 C261992 IY261992 SU261992 ACQ261992 AMM261992 AWI261992 BGE261992 BQA261992 BZW261992 CJS261992 CTO261992 DDK261992 DNG261992 DXC261992 EGY261992 EQU261992 FAQ261992 FKM261992 FUI261992 GEE261992 GOA261992 GXW261992 HHS261992 HRO261992 IBK261992 ILG261992 IVC261992 JEY261992 JOU261992 JYQ261992 KIM261992 KSI261992 LCE261992 LMA261992 LVW261992 MFS261992 MPO261992 MZK261992 NJG261992 NTC261992 OCY261992 OMU261992 OWQ261992 PGM261992 PQI261992 QAE261992 QKA261992 QTW261992 RDS261992 RNO261992 RXK261992 SHG261992 SRC261992 TAY261992 TKU261992 TUQ261992 UEM261992 UOI261992 UYE261992 VIA261992 VRW261992 WBS261992 WLO261992 WVK261992 C327528 IY327528 SU327528 ACQ327528 AMM327528 AWI327528 BGE327528 BQA327528 BZW327528 CJS327528 CTO327528 DDK327528 DNG327528 DXC327528 EGY327528 EQU327528 FAQ327528 FKM327528 FUI327528 GEE327528 GOA327528 GXW327528 HHS327528 HRO327528 IBK327528 ILG327528 IVC327528 JEY327528 JOU327528 JYQ327528 KIM327528 KSI327528 LCE327528 LMA327528 LVW327528 MFS327528 MPO327528 MZK327528 NJG327528 NTC327528 OCY327528 OMU327528 OWQ327528 PGM327528 PQI327528 QAE327528 QKA327528 QTW327528 RDS327528 RNO327528 RXK327528 SHG327528 SRC327528 TAY327528 TKU327528 TUQ327528 UEM327528 UOI327528 UYE327528 VIA327528 VRW327528 WBS327528 WLO327528 WVK327528 C393064 IY393064 SU393064 ACQ393064 AMM393064 AWI393064 BGE393064 BQA393064 BZW393064 CJS393064 CTO393064 DDK393064 DNG393064 DXC393064 EGY393064 EQU393064 FAQ393064 FKM393064 FUI393064 GEE393064 GOA393064 GXW393064 HHS393064 HRO393064 IBK393064 ILG393064 IVC393064 JEY393064 JOU393064 JYQ393064 KIM393064 KSI393064 LCE393064 LMA393064 LVW393064 MFS393064 MPO393064 MZK393064 NJG393064 NTC393064 OCY393064 OMU393064 OWQ393064 PGM393064 PQI393064 QAE393064 QKA393064 QTW393064 RDS393064 RNO393064 RXK393064 SHG393064 SRC393064 TAY393064 TKU393064 TUQ393064 UEM393064 UOI393064 UYE393064 VIA393064 VRW393064 WBS393064 WLO393064 WVK393064 C458600 IY458600 SU458600 ACQ458600 AMM458600 AWI458600 BGE458600 BQA458600 BZW458600 CJS458600 CTO458600 DDK458600 DNG458600 DXC458600 EGY458600 EQU458600 FAQ458600 FKM458600 FUI458600 GEE458600 GOA458600 GXW458600 HHS458600 HRO458600 IBK458600 ILG458600 IVC458600 JEY458600 JOU458600 JYQ458600 KIM458600 KSI458600 LCE458600 LMA458600 LVW458600 MFS458600 MPO458600 MZK458600 NJG458600 NTC458600 OCY458600 OMU458600 OWQ458600 PGM458600 PQI458600 QAE458600 QKA458600 QTW458600 RDS458600 RNO458600 RXK458600 SHG458600 SRC458600 TAY458600 TKU458600 TUQ458600 UEM458600 UOI458600 UYE458600 VIA458600 VRW458600 WBS458600 WLO458600 WVK458600 C524136 IY524136 SU524136 ACQ524136 AMM524136 AWI524136 BGE524136 BQA524136 BZW524136 CJS524136 CTO524136 DDK524136 DNG524136 DXC524136 EGY524136 EQU524136 FAQ524136 FKM524136 FUI524136 GEE524136 GOA524136 GXW524136 HHS524136 HRO524136 IBK524136 ILG524136 IVC524136 JEY524136 JOU524136 JYQ524136 KIM524136 KSI524136 LCE524136 LMA524136 LVW524136 MFS524136 MPO524136 MZK524136 NJG524136 NTC524136 OCY524136 OMU524136 OWQ524136 PGM524136 PQI524136 QAE524136 QKA524136 QTW524136 RDS524136 RNO524136 RXK524136 SHG524136 SRC524136 TAY524136 TKU524136 TUQ524136 UEM524136 UOI524136 UYE524136 VIA524136 VRW524136 WBS524136 WLO524136 WVK524136 C589672 IY589672 SU589672 ACQ589672 AMM589672 AWI589672 BGE589672 BQA589672 BZW589672 CJS589672 CTO589672 DDK589672 DNG589672 DXC589672 EGY589672 EQU589672 FAQ589672 FKM589672 FUI589672 GEE589672 GOA589672 GXW589672 HHS589672 HRO589672 IBK589672 ILG589672 IVC589672 JEY589672 JOU589672 JYQ589672 KIM589672 KSI589672 LCE589672 LMA589672 LVW589672 MFS589672 MPO589672 MZK589672 NJG589672 NTC589672 OCY589672 OMU589672 OWQ589672 PGM589672 PQI589672 QAE589672 QKA589672 QTW589672 RDS589672 RNO589672 RXK589672 SHG589672 SRC589672 TAY589672 TKU589672 TUQ589672 UEM589672 UOI589672 UYE589672 VIA589672 VRW589672 WBS589672 WLO589672 WVK589672 C655208 IY655208 SU655208 ACQ655208 AMM655208 AWI655208 BGE655208 BQA655208 BZW655208 CJS655208 CTO655208 DDK655208 DNG655208 DXC655208 EGY655208 EQU655208 FAQ655208 FKM655208 FUI655208 GEE655208 GOA655208 GXW655208 HHS655208 HRO655208 IBK655208 ILG655208 IVC655208 JEY655208 JOU655208 JYQ655208 KIM655208 KSI655208 LCE655208 LMA655208 LVW655208 MFS655208 MPO655208 MZK655208 NJG655208 NTC655208 OCY655208 OMU655208 OWQ655208 PGM655208 PQI655208 QAE655208 QKA655208 QTW655208 RDS655208 RNO655208 RXK655208 SHG655208 SRC655208 TAY655208 TKU655208 TUQ655208 UEM655208 UOI655208 UYE655208 VIA655208 VRW655208 WBS655208 WLO655208 WVK655208 C720744 IY720744 SU720744 ACQ720744 AMM720744 AWI720744 BGE720744 BQA720744 BZW720744 CJS720744 CTO720744 DDK720744 DNG720744 DXC720744 EGY720744 EQU720744 FAQ720744 FKM720744 FUI720744 GEE720744 GOA720744 GXW720744 HHS720744 HRO720744 IBK720744 ILG720744 IVC720744 JEY720744 JOU720744 JYQ720744 KIM720744 KSI720744 LCE720744 LMA720744 LVW720744 MFS720744 MPO720744 MZK720744 NJG720744 NTC720744 OCY720744 OMU720744 OWQ720744 PGM720744 PQI720744 QAE720744 QKA720744 QTW720744 RDS720744 RNO720744 RXK720744 SHG720744 SRC720744 TAY720744 TKU720744 TUQ720744 UEM720744 UOI720744 UYE720744 VIA720744 VRW720744 WBS720744 WLO720744 WVK720744 C786280 IY786280 SU786280 ACQ786280 AMM786280 AWI786280 BGE786280 BQA786280 BZW786280 CJS786280 CTO786280 DDK786280 DNG786280 DXC786280 EGY786280 EQU786280 FAQ786280 FKM786280 FUI786280 GEE786280 GOA786280 GXW786280 HHS786280 HRO786280 IBK786280 ILG786280 IVC786280 JEY786280 JOU786280 JYQ786280 KIM786280 KSI786280 LCE786280 LMA786280 LVW786280 MFS786280 MPO786280 MZK786280 NJG786280 NTC786280 OCY786280 OMU786280 OWQ786280 PGM786280 PQI786280 QAE786280 QKA786280 QTW786280 RDS786280 RNO786280 RXK786280 SHG786280 SRC786280 TAY786280 TKU786280 TUQ786280 UEM786280 UOI786280 UYE786280 VIA786280 VRW786280 WBS786280 WLO786280 WVK786280 C851816 IY851816 SU851816 ACQ851816 AMM851816 AWI851816 BGE851816 BQA851816 BZW851816 CJS851816 CTO851816 DDK851816 DNG851816 DXC851816 EGY851816 EQU851816 FAQ851816 FKM851816 FUI851816 GEE851816 GOA851816 GXW851816 HHS851816 HRO851816 IBK851816 ILG851816 IVC851816 JEY851816 JOU851816 JYQ851816 KIM851816 KSI851816 LCE851816 LMA851816 LVW851816 MFS851816 MPO851816 MZK851816 NJG851816 NTC851816 OCY851816 OMU851816 OWQ851816 PGM851816 PQI851816 QAE851816 QKA851816 QTW851816 RDS851816 RNO851816 RXK851816 SHG851816 SRC851816 TAY851816 TKU851816 TUQ851816 UEM851816 UOI851816 UYE851816 VIA851816 VRW851816 WBS851816 WLO851816 WVK851816 C917352 IY917352 SU917352 ACQ917352 AMM917352 AWI917352 BGE917352 BQA917352 BZW917352 CJS917352 CTO917352 DDK917352 DNG917352 DXC917352 EGY917352 EQU917352 FAQ917352 FKM917352 FUI917352 GEE917352 GOA917352 GXW917352 HHS917352 HRO917352 IBK917352 ILG917352 IVC917352 JEY917352 JOU917352 JYQ917352 KIM917352 KSI917352 LCE917352 LMA917352 LVW917352 MFS917352 MPO917352 MZK917352 NJG917352 NTC917352 OCY917352 OMU917352 OWQ917352 PGM917352 PQI917352 QAE917352 QKA917352 QTW917352 RDS917352 RNO917352 RXK917352 SHG917352 SRC917352 TAY917352 TKU917352 TUQ917352 UEM917352 UOI917352 UYE917352 VIA917352 VRW917352 WBS917352 WLO917352 WVK917352 C982888 IY982888 SU982888 ACQ982888 AMM982888 AWI982888 BGE982888 BQA982888 BZW982888 CJS982888 CTO982888 DDK982888 DNG982888 DXC982888 EGY982888 EQU982888 FAQ982888 FKM982888 FUI982888 GEE982888 GOA982888 GXW982888 HHS982888 HRO982888 IBK982888 ILG982888 IVC982888 JEY982888 JOU982888 JYQ982888 KIM982888 KSI982888 LCE982888 LMA982888 LVW982888 MFS982888 MPO982888 MZK982888 NJG982888 NTC982888 OCY982888 OMU982888 OWQ982888 PGM982888 PQI982888 QAE982888 QKA982888 QTW982888 RDS982888 RNO982888 RXK982888 SHG982888 SRC982888 TAY982888 TKU982888 TUQ982888 UEM982888 UOI982888 UYE982888 VIA982888 VRW982888 WBS982888 WLO982888 WVK982888 C1048424 IY1048424 SU1048424 ACQ1048424 AMM1048424 AWI1048424 BGE1048424 BQA1048424 BZW1048424 CJS1048424 CTO1048424 DDK1048424 DNG1048424 DXC1048424 EGY1048424 EQU1048424 FAQ1048424 FKM1048424 FUI1048424 GEE1048424 GOA1048424 GXW1048424 HHS1048424 HRO1048424 IBK1048424 ILG1048424 IVC1048424 JEY1048424 JOU1048424 JYQ1048424 KIM1048424 KSI1048424 LCE1048424 LMA1048424 LVW1048424 MFS1048424 MPO1048424 MZK1048424 NJG1048424 NTC1048424 OCY1048424 OMU1048424 OWQ1048424 PGM1048424 PQI1048424 QAE1048424 QKA1048424 QTW1048424 RDS1048424 RNO1048424 RXK1048424 SHG1048424 SRC1048424 TAY1048424 TKU1048424 TUQ1048424 UEM1048424 UOI1048424 UYE1048424 VIA1048424 VRW1048424 WBS1048424 WLO1048424 WVK1048424" xr:uid="{00000000-0002-0000-0400-000000000000}"/>
    <dataValidation allowBlank="1" showInputMessage="1" showErrorMessage="1" prompt="Bao gồm: tăng 300tr. đồng Ghi thu ghi chi quyền sử dụng đất khai thác quỹ đất khu phía Nam cầu Đăk bla (Thường xuyên)" sqref="WVZ983105 JN71 TJ71 ADF71 ANB71 AWX71 BGT71 BQP71 CAL71 CKH71 CUD71 DDZ71 DNV71 DXR71 EHN71 ERJ71 FBF71 FLB71 FUX71 GET71 GOP71 GYL71 HIH71 HSD71 IBZ71 ILV71 IVR71 JFN71 JPJ71 JZF71 KJB71 KSX71 LCT71 LMP71 LWL71 MGH71 MQD71 MZZ71 NJV71 NTR71 ODN71 ONJ71 OXF71 PHB71 PQX71 QAT71 QKP71 QUL71 REH71 ROD71 RXZ71 SHV71 SRR71 TBN71 TLJ71 TVF71 UFB71 UOX71 UYT71 VIP71 VSL71 WCH71 WMD71 WVZ71 R65601 JN65601 TJ65601 ADF65601 ANB65601 AWX65601 BGT65601 BQP65601 CAL65601 CKH65601 CUD65601 DDZ65601 DNV65601 DXR65601 EHN65601 ERJ65601 FBF65601 FLB65601 FUX65601 GET65601 GOP65601 GYL65601 HIH65601 HSD65601 IBZ65601 ILV65601 IVR65601 JFN65601 JPJ65601 JZF65601 KJB65601 KSX65601 LCT65601 LMP65601 LWL65601 MGH65601 MQD65601 MZZ65601 NJV65601 NTR65601 ODN65601 ONJ65601 OXF65601 PHB65601 PQX65601 QAT65601 QKP65601 QUL65601 REH65601 ROD65601 RXZ65601 SHV65601 SRR65601 TBN65601 TLJ65601 TVF65601 UFB65601 UOX65601 UYT65601 VIP65601 VSL65601 WCH65601 WMD65601 WVZ65601 R131137 JN131137 TJ131137 ADF131137 ANB131137 AWX131137 BGT131137 BQP131137 CAL131137 CKH131137 CUD131137 DDZ131137 DNV131137 DXR131137 EHN131137 ERJ131137 FBF131137 FLB131137 FUX131137 GET131137 GOP131137 GYL131137 HIH131137 HSD131137 IBZ131137 ILV131137 IVR131137 JFN131137 JPJ131137 JZF131137 KJB131137 KSX131137 LCT131137 LMP131137 LWL131137 MGH131137 MQD131137 MZZ131137 NJV131137 NTR131137 ODN131137 ONJ131137 OXF131137 PHB131137 PQX131137 QAT131137 QKP131137 QUL131137 REH131137 ROD131137 RXZ131137 SHV131137 SRR131137 TBN131137 TLJ131137 TVF131137 UFB131137 UOX131137 UYT131137 VIP131137 VSL131137 WCH131137 WMD131137 WVZ131137 R196673 JN196673 TJ196673 ADF196673 ANB196673 AWX196673 BGT196673 BQP196673 CAL196673 CKH196673 CUD196673 DDZ196673 DNV196673 DXR196673 EHN196673 ERJ196673 FBF196673 FLB196673 FUX196673 GET196673 GOP196673 GYL196673 HIH196673 HSD196673 IBZ196673 ILV196673 IVR196673 JFN196673 JPJ196673 JZF196673 KJB196673 KSX196673 LCT196673 LMP196673 LWL196673 MGH196673 MQD196673 MZZ196673 NJV196673 NTR196673 ODN196673 ONJ196673 OXF196673 PHB196673 PQX196673 QAT196673 QKP196673 QUL196673 REH196673 ROD196673 RXZ196673 SHV196673 SRR196673 TBN196673 TLJ196673 TVF196673 UFB196673 UOX196673 UYT196673 VIP196673 VSL196673 WCH196673 WMD196673 WVZ196673 R262209 JN262209 TJ262209 ADF262209 ANB262209 AWX262209 BGT262209 BQP262209 CAL262209 CKH262209 CUD262209 DDZ262209 DNV262209 DXR262209 EHN262209 ERJ262209 FBF262209 FLB262209 FUX262209 GET262209 GOP262209 GYL262209 HIH262209 HSD262209 IBZ262209 ILV262209 IVR262209 JFN262209 JPJ262209 JZF262209 KJB262209 KSX262209 LCT262209 LMP262209 LWL262209 MGH262209 MQD262209 MZZ262209 NJV262209 NTR262209 ODN262209 ONJ262209 OXF262209 PHB262209 PQX262209 QAT262209 QKP262209 QUL262209 REH262209 ROD262209 RXZ262209 SHV262209 SRR262209 TBN262209 TLJ262209 TVF262209 UFB262209 UOX262209 UYT262209 VIP262209 VSL262209 WCH262209 WMD262209 WVZ262209 R327745 JN327745 TJ327745 ADF327745 ANB327745 AWX327745 BGT327745 BQP327745 CAL327745 CKH327745 CUD327745 DDZ327745 DNV327745 DXR327745 EHN327745 ERJ327745 FBF327745 FLB327745 FUX327745 GET327745 GOP327745 GYL327745 HIH327745 HSD327745 IBZ327745 ILV327745 IVR327745 JFN327745 JPJ327745 JZF327745 KJB327745 KSX327745 LCT327745 LMP327745 LWL327745 MGH327745 MQD327745 MZZ327745 NJV327745 NTR327745 ODN327745 ONJ327745 OXF327745 PHB327745 PQX327745 QAT327745 QKP327745 QUL327745 REH327745 ROD327745 RXZ327745 SHV327745 SRR327745 TBN327745 TLJ327745 TVF327745 UFB327745 UOX327745 UYT327745 VIP327745 VSL327745 WCH327745 WMD327745 WVZ327745 R393281 JN393281 TJ393281 ADF393281 ANB393281 AWX393281 BGT393281 BQP393281 CAL393281 CKH393281 CUD393281 DDZ393281 DNV393281 DXR393281 EHN393281 ERJ393281 FBF393281 FLB393281 FUX393281 GET393281 GOP393281 GYL393281 HIH393281 HSD393281 IBZ393281 ILV393281 IVR393281 JFN393281 JPJ393281 JZF393281 KJB393281 KSX393281 LCT393281 LMP393281 LWL393281 MGH393281 MQD393281 MZZ393281 NJV393281 NTR393281 ODN393281 ONJ393281 OXF393281 PHB393281 PQX393281 QAT393281 QKP393281 QUL393281 REH393281 ROD393281 RXZ393281 SHV393281 SRR393281 TBN393281 TLJ393281 TVF393281 UFB393281 UOX393281 UYT393281 VIP393281 VSL393281 WCH393281 WMD393281 WVZ393281 R458817 JN458817 TJ458817 ADF458817 ANB458817 AWX458817 BGT458817 BQP458817 CAL458817 CKH458817 CUD458817 DDZ458817 DNV458817 DXR458817 EHN458817 ERJ458817 FBF458817 FLB458817 FUX458817 GET458817 GOP458817 GYL458817 HIH458817 HSD458817 IBZ458817 ILV458817 IVR458817 JFN458817 JPJ458817 JZF458817 KJB458817 KSX458817 LCT458817 LMP458817 LWL458817 MGH458817 MQD458817 MZZ458817 NJV458817 NTR458817 ODN458817 ONJ458817 OXF458817 PHB458817 PQX458817 QAT458817 QKP458817 QUL458817 REH458817 ROD458817 RXZ458817 SHV458817 SRR458817 TBN458817 TLJ458817 TVF458817 UFB458817 UOX458817 UYT458817 VIP458817 VSL458817 WCH458817 WMD458817 WVZ458817 R524353 JN524353 TJ524353 ADF524353 ANB524353 AWX524353 BGT524353 BQP524353 CAL524353 CKH524353 CUD524353 DDZ524353 DNV524353 DXR524353 EHN524353 ERJ524353 FBF524353 FLB524353 FUX524353 GET524353 GOP524353 GYL524353 HIH524353 HSD524353 IBZ524353 ILV524353 IVR524353 JFN524353 JPJ524353 JZF524353 KJB524353 KSX524353 LCT524353 LMP524353 LWL524353 MGH524353 MQD524353 MZZ524353 NJV524353 NTR524353 ODN524353 ONJ524353 OXF524353 PHB524353 PQX524353 QAT524353 QKP524353 QUL524353 REH524353 ROD524353 RXZ524353 SHV524353 SRR524353 TBN524353 TLJ524353 TVF524353 UFB524353 UOX524353 UYT524353 VIP524353 VSL524353 WCH524353 WMD524353 WVZ524353 R589889 JN589889 TJ589889 ADF589889 ANB589889 AWX589889 BGT589889 BQP589889 CAL589889 CKH589889 CUD589889 DDZ589889 DNV589889 DXR589889 EHN589889 ERJ589889 FBF589889 FLB589889 FUX589889 GET589889 GOP589889 GYL589889 HIH589889 HSD589889 IBZ589889 ILV589889 IVR589889 JFN589889 JPJ589889 JZF589889 KJB589889 KSX589889 LCT589889 LMP589889 LWL589889 MGH589889 MQD589889 MZZ589889 NJV589889 NTR589889 ODN589889 ONJ589889 OXF589889 PHB589889 PQX589889 QAT589889 QKP589889 QUL589889 REH589889 ROD589889 RXZ589889 SHV589889 SRR589889 TBN589889 TLJ589889 TVF589889 UFB589889 UOX589889 UYT589889 VIP589889 VSL589889 WCH589889 WMD589889 WVZ589889 R655425 JN655425 TJ655425 ADF655425 ANB655425 AWX655425 BGT655425 BQP655425 CAL655425 CKH655425 CUD655425 DDZ655425 DNV655425 DXR655425 EHN655425 ERJ655425 FBF655425 FLB655425 FUX655425 GET655425 GOP655425 GYL655425 HIH655425 HSD655425 IBZ655425 ILV655425 IVR655425 JFN655425 JPJ655425 JZF655425 KJB655425 KSX655425 LCT655425 LMP655425 LWL655425 MGH655425 MQD655425 MZZ655425 NJV655425 NTR655425 ODN655425 ONJ655425 OXF655425 PHB655425 PQX655425 QAT655425 QKP655425 QUL655425 REH655425 ROD655425 RXZ655425 SHV655425 SRR655425 TBN655425 TLJ655425 TVF655425 UFB655425 UOX655425 UYT655425 VIP655425 VSL655425 WCH655425 WMD655425 WVZ655425 R720961 JN720961 TJ720961 ADF720961 ANB720961 AWX720961 BGT720961 BQP720961 CAL720961 CKH720961 CUD720961 DDZ720961 DNV720961 DXR720961 EHN720961 ERJ720961 FBF720961 FLB720961 FUX720961 GET720961 GOP720961 GYL720961 HIH720961 HSD720961 IBZ720961 ILV720961 IVR720961 JFN720961 JPJ720961 JZF720961 KJB720961 KSX720961 LCT720961 LMP720961 LWL720961 MGH720961 MQD720961 MZZ720961 NJV720961 NTR720961 ODN720961 ONJ720961 OXF720961 PHB720961 PQX720961 QAT720961 QKP720961 QUL720961 REH720961 ROD720961 RXZ720961 SHV720961 SRR720961 TBN720961 TLJ720961 TVF720961 UFB720961 UOX720961 UYT720961 VIP720961 VSL720961 WCH720961 WMD720961 WVZ720961 R786497 JN786497 TJ786497 ADF786497 ANB786497 AWX786497 BGT786497 BQP786497 CAL786497 CKH786497 CUD786497 DDZ786497 DNV786497 DXR786497 EHN786497 ERJ786497 FBF786497 FLB786497 FUX786497 GET786497 GOP786497 GYL786497 HIH786497 HSD786497 IBZ786497 ILV786497 IVR786497 JFN786497 JPJ786497 JZF786497 KJB786497 KSX786497 LCT786497 LMP786497 LWL786497 MGH786497 MQD786497 MZZ786497 NJV786497 NTR786497 ODN786497 ONJ786497 OXF786497 PHB786497 PQX786497 QAT786497 QKP786497 QUL786497 REH786497 ROD786497 RXZ786497 SHV786497 SRR786497 TBN786497 TLJ786497 TVF786497 UFB786497 UOX786497 UYT786497 VIP786497 VSL786497 WCH786497 WMD786497 WVZ786497 R852033 JN852033 TJ852033 ADF852033 ANB852033 AWX852033 BGT852033 BQP852033 CAL852033 CKH852033 CUD852033 DDZ852033 DNV852033 DXR852033 EHN852033 ERJ852033 FBF852033 FLB852033 FUX852033 GET852033 GOP852033 GYL852033 HIH852033 HSD852033 IBZ852033 ILV852033 IVR852033 JFN852033 JPJ852033 JZF852033 KJB852033 KSX852033 LCT852033 LMP852033 LWL852033 MGH852033 MQD852033 MZZ852033 NJV852033 NTR852033 ODN852033 ONJ852033 OXF852033 PHB852033 PQX852033 QAT852033 QKP852033 QUL852033 REH852033 ROD852033 RXZ852033 SHV852033 SRR852033 TBN852033 TLJ852033 TVF852033 UFB852033 UOX852033 UYT852033 VIP852033 VSL852033 WCH852033 WMD852033 WVZ852033 R917569 JN917569 TJ917569 ADF917569 ANB917569 AWX917569 BGT917569 BQP917569 CAL917569 CKH917569 CUD917569 DDZ917569 DNV917569 DXR917569 EHN917569 ERJ917569 FBF917569 FLB917569 FUX917569 GET917569 GOP917569 GYL917569 HIH917569 HSD917569 IBZ917569 ILV917569 IVR917569 JFN917569 JPJ917569 JZF917569 KJB917569 KSX917569 LCT917569 LMP917569 LWL917569 MGH917569 MQD917569 MZZ917569 NJV917569 NTR917569 ODN917569 ONJ917569 OXF917569 PHB917569 PQX917569 QAT917569 QKP917569 QUL917569 REH917569 ROD917569 RXZ917569 SHV917569 SRR917569 TBN917569 TLJ917569 TVF917569 UFB917569 UOX917569 UYT917569 VIP917569 VSL917569 WCH917569 WMD917569 WVZ917569 R983105 JN983105 TJ983105 ADF983105 ANB983105 AWX983105 BGT983105 BQP983105 CAL983105 CKH983105 CUD983105 DDZ983105 DNV983105 DXR983105 EHN983105 ERJ983105 FBF983105 FLB983105 FUX983105 GET983105 GOP983105 GYL983105 HIH983105 HSD983105 IBZ983105 ILV983105 IVR983105 JFN983105 JPJ983105 JZF983105 KJB983105 KSX983105 LCT983105 LMP983105 LWL983105 MGH983105 MQD983105 MZZ983105 NJV983105 NTR983105 ODN983105 ONJ983105 OXF983105 PHB983105 PQX983105 QAT983105 QKP983105 QUL983105 REH983105 ROD983105 RXZ983105 SHV983105 SRR983105 TBN983105 TLJ983105 TVF983105 UFB983105 UOX983105 UYT983105 VIP983105 VSL983105 WCH983105 WMD983105 R69" xr:uid="{00000000-0002-0000-0400-000001000000}"/>
    <dataValidation allowBlank="1" showInputMessage="1" showErrorMessage="1" prompt="Bao gồm Văn phòng điều phối CT MTQG NTM" sqref="WVU983048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M15" xr:uid="{00000000-0002-0000-0400-000002000000}"/>
    <dataValidation allowBlank="1" showInputMessage="1" showErrorMessage="1" prompt="Bao gồm cả BS cân đối để khớp với tổng chi NS tỉnh" sqref="WWB983148 JP113 TL113 ADH113 AND113 AWZ113 BGV113 BQR113 CAN113 CKJ113 CUF113 DEB113 DNX113 DXT113 EHP113 ERL113 FBH113 FLD113 FUZ113 GEV113 GOR113 GYN113 HIJ113 HSF113 ICB113 ILX113 IVT113 JFP113 JPL113 JZH113 KJD113 KSZ113 LCV113 LMR113 LWN113 MGJ113 MQF113 NAB113 NJX113 NTT113 ODP113 ONL113 OXH113 PHD113 PQZ113 QAV113 QKR113 QUN113 REJ113 ROF113 RYB113 SHX113 SRT113 TBP113 TLL113 TVH113 UFD113 UOZ113 UYV113 VIR113 VSN113 WCJ113 WMF113 WWB113 T65644 JP65644 TL65644 ADH65644 AND65644 AWZ65644 BGV65644 BQR65644 CAN65644 CKJ65644 CUF65644 DEB65644 DNX65644 DXT65644 EHP65644 ERL65644 FBH65644 FLD65644 FUZ65644 GEV65644 GOR65644 GYN65644 HIJ65644 HSF65644 ICB65644 ILX65644 IVT65644 JFP65644 JPL65644 JZH65644 KJD65644 KSZ65644 LCV65644 LMR65644 LWN65644 MGJ65644 MQF65644 NAB65644 NJX65644 NTT65644 ODP65644 ONL65644 OXH65644 PHD65644 PQZ65644 QAV65644 QKR65644 QUN65644 REJ65644 ROF65644 RYB65644 SHX65644 SRT65644 TBP65644 TLL65644 TVH65644 UFD65644 UOZ65644 UYV65644 VIR65644 VSN65644 WCJ65644 WMF65644 WWB65644 T131180 JP131180 TL131180 ADH131180 AND131180 AWZ131180 BGV131180 BQR131180 CAN131180 CKJ131180 CUF131180 DEB131180 DNX131180 DXT131180 EHP131180 ERL131180 FBH131180 FLD131180 FUZ131180 GEV131180 GOR131180 GYN131180 HIJ131180 HSF131180 ICB131180 ILX131180 IVT131180 JFP131180 JPL131180 JZH131180 KJD131180 KSZ131180 LCV131180 LMR131180 LWN131180 MGJ131180 MQF131180 NAB131180 NJX131180 NTT131180 ODP131180 ONL131180 OXH131180 PHD131180 PQZ131180 QAV131180 QKR131180 QUN131180 REJ131180 ROF131180 RYB131180 SHX131180 SRT131180 TBP131180 TLL131180 TVH131180 UFD131180 UOZ131180 UYV131180 VIR131180 VSN131180 WCJ131180 WMF131180 WWB131180 T196716 JP196716 TL196716 ADH196716 AND196716 AWZ196716 BGV196716 BQR196716 CAN196716 CKJ196716 CUF196716 DEB196716 DNX196716 DXT196716 EHP196716 ERL196716 FBH196716 FLD196716 FUZ196716 GEV196716 GOR196716 GYN196716 HIJ196716 HSF196716 ICB196716 ILX196716 IVT196716 JFP196716 JPL196716 JZH196716 KJD196716 KSZ196716 LCV196716 LMR196716 LWN196716 MGJ196716 MQF196716 NAB196716 NJX196716 NTT196716 ODP196716 ONL196716 OXH196716 PHD196716 PQZ196716 QAV196716 QKR196716 QUN196716 REJ196716 ROF196716 RYB196716 SHX196716 SRT196716 TBP196716 TLL196716 TVH196716 UFD196716 UOZ196716 UYV196716 VIR196716 VSN196716 WCJ196716 WMF196716 WWB196716 T262252 JP262252 TL262252 ADH262252 AND262252 AWZ262252 BGV262252 BQR262252 CAN262252 CKJ262252 CUF262252 DEB262252 DNX262252 DXT262252 EHP262252 ERL262252 FBH262252 FLD262252 FUZ262252 GEV262252 GOR262252 GYN262252 HIJ262252 HSF262252 ICB262252 ILX262252 IVT262252 JFP262252 JPL262252 JZH262252 KJD262252 KSZ262252 LCV262252 LMR262252 LWN262252 MGJ262252 MQF262252 NAB262252 NJX262252 NTT262252 ODP262252 ONL262252 OXH262252 PHD262252 PQZ262252 QAV262252 QKR262252 QUN262252 REJ262252 ROF262252 RYB262252 SHX262252 SRT262252 TBP262252 TLL262252 TVH262252 UFD262252 UOZ262252 UYV262252 VIR262252 VSN262252 WCJ262252 WMF262252 WWB262252 T327788 JP327788 TL327788 ADH327788 AND327788 AWZ327788 BGV327788 BQR327788 CAN327788 CKJ327788 CUF327788 DEB327788 DNX327788 DXT327788 EHP327788 ERL327788 FBH327788 FLD327788 FUZ327788 GEV327788 GOR327788 GYN327788 HIJ327788 HSF327788 ICB327788 ILX327788 IVT327788 JFP327788 JPL327788 JZH327788 KJD327788 KSZ327788 LCV327788 LMR327788 LWN327788 MGJ327788 MQF327788 NAB327788 NJX327788 NTT327788 ODP327788 ONL327788 OXH327788 PHD327788 PQZ327788 QAV327788 QKR327788 QUN327788 REJ327788 ROF327788 RYB327788 SHX327788 SRT327788 TBP327788 TLL327788 TVH327788 UFD327788 UOZ327788 UYV327788 VIR327788 VSN327788 WCJ327788 WMF327788 WWB327788 T393324 JP393324 TL393324 ADH393324 AND393324 AWZ393324 BGV393324 BQR393324 CAN393324 CKJ393324 CUF393324 DEB393324 DNX393324 DXT393324 EHP393324 ERL393324 FBH393324 FLD393324 FUZ393324 GEV393324 GOR393324 GYN393324 HIJ393324 HSF393324 ICB393324 ILX393324 IVT393324 JFP393324 JPL393324 JZH393324 KJD393324 KSZ393324 LCV393324 LMR393324 LWN393324 MGJ393324 MQF393324 NAB393324 NJX393324 NTT393324 ODP393324 ONL393324 OXH393324 PHD393324 PQZ393324 QAV393324 QKR393324 QUN393324 REJ393324 ROF393324 RYB393324 SHX393324 SRT393324 TBP393324 TLL393324 TVH393324 UFD393324 UOZ393324 UYV393324 VIR393324 VSN393324 WCJ393324 WMF393324 WWB393324 T458860 JP458860 TL458860 ADH458860 AND458860 AWZ458860 BGV458860 BQR458860 CAN458860 CKJ458860 CUF458860 DEB458860 DNX458860 DXT458860 EHP458860 ERL458860 FBH458860 FLD458860 FUZ458860 GEV458860 GOR458860 GYN458860 HIJ458860 HSF458860 ICB458860 ILX458860 IVT458860 JFP458860 JPL458860 JZH458860 KJD458860 KSZ458860 LCV458860 LMR458860 LWN458860 MGJ458860 MQF458860 NAB458860 NJX458860 NTT458860 ODP458860 ONL458860 OXH458860 PHD458860 PQZ458860 QAV458860 QKR458860 QUN458860 REJ458860 ROF458860 RYB458860 SHX458860 SRT458860 TBP458860 TLL458860 TVH458860 UFD458860 UOZ458860 UYV458860 VIR458860 VSN458860 WCJ458860 WMF458860 WWB458860 T524396 JP524396 TL524396 ADH524396 AND524396 AWZ524396 BGV524396 BQR524396 CAN524396 CKJ524396 CUF524396 DEB524396 DNX524396 DXT524396 EHP524396 ERL524396 FBH524396 FLD524396 FUZ524396 GEV524396 GOR524396 GYN524396 HIJ524396 HSF524396 ICB524396 ILX524396 IVT524396 JFP524396 JPL524396 JZH524396 KJD524396 KSZ524396 LCV524396 LMR524396 LWN524396 MGJ524396 MQF524396 NAB524396 NJX524396 NTT524396 ODP524396 ONL524396 OXH524396 PHD524396 PQZ524396 QAV524396 QKR524396 QUN524396 REJ524396 ROF524396 RYB524396 SHX524396 SRT524396 TBP524396 TLL524396 TVH524396 UFD524396 UOZ524396 UYV524396 VIR524396 VSN524396 WCJ524396 WMF524396 WWB524396 T589932 JP589932 TL589932 ADH589932 AND589932 AWZ589932 BGV589932 BQR589932 CAN589932 CKJ589932 CUF589932 DEB589932 DNX589932 DXT589932 EHP589932 ERL589932 FBH589932 FLD589932 FUZ589932 GEV589932 GOR589932 GYN589932 HIJ589932 HSF589932 ICB589932 ILX589932 IVT589932 JFP589932 JPL589932 JZH589932 KJD589932 KSZ589932 LCV589932 LMR589932 LWN589932 MGJ589932 MQF589932 NAB589932 NJX589932 NTT589932 ODP589932 ONL589932 OXH589932 PHD589932 PQZ589932 QAV589932 QKR589932 QUN589932 REJ589932 ROF589932 RYB589932 SHX589932 SRT589932 TBP589932 TLL589932 TVH589932 UFD589932 UOZ589932 UYV589932 VIR589932 VSN589932 WCJ589932 WMF589932 WWB589932 T655468 JP655468 TL655468 ADH655468 AND655468 AWZ655468 BGV655468 BQR655468 CAN655468 CKJ655468 CUF655468 DEB655468 DNX655468 DXT655468 EHP655468 ERL655468 FBH655468 FLD655468 FUZ655468 GEV655468 GOR655468 GYN655468 HIJ655468 HSF655468 ICB655468 ILX655468 IVT655468 JFP655468 JPL655468 JZH655468 KJD655468 KSZ655468 LCV655468 LMR655468 LWN655468 MGJ655468 MQF655468 NAB655468 NJX655468 NTT655468 ODP655468 ONL655468 OXH655468 PHD655468 PQZ655468 QAV655468 QKR655468 QUN655468 REJ655468 ROF655468 RYB655468 SHX655468 SRT655468 TBP655468 TLL655468 TVH655468 UFD655468 UOZ655468 UYV655468 VIR655468 VSN655468 WCJ655468 WMF655468 WWB655468 T721004 JP721004 TL721004 ADH721004 AND721004 AWZ721004 BGV721004 BQR721004 CAN721004 CKJ721004 CUF721004 DEB721004 DNX721004 DXT721004 EHP721004 ERL721004 FBH721004 FLD721004 FUZ721004 GEV721004 GOR721004 GYN721004 HIJ721004 HSF721004 ICB721004 ILX721004 IVT721004 JFP721004 JPL721004 JZH721004 KJD721004 KSZ721004 LCV721004 LMR721004 LWN721004 MGJ721004 MQF721004 NAB721004 NJX721004 NTT721004 ODP721004 ONL721004 OXH721004 PHD721004 PQZ721004 QAV721004 QKR721004 QUN721004 REJ721004 ROF721004 RYB721004 SHX721004 SRT721004 TBP721004 TLL721004 TVH721004 UFD721004 UOZ721004 UYV721004 VIR721004 VSN721004 WCJ721004 WMF721004 WWB721004 T786540 JP786540 TL786540 ADH786540 AND786540 AWZ786540 BGV786540 BQR786540 CAN786540 CKJ786540 CUF786540 DEB786540 DNX786540 DXT786540 EHP786540 ERL786540 FBH786540 FLD786540 FUZ786540 GEV786540 GOR786540 GYN786540 HIJ786540 HSF786540 ICB786540 ILX786540 IVT786540 JFP786540 JPL786540 JZH786540 KJD786540 KSZ786540 LCV786540 LMR786540 LWN786540 MGJ786540 MQF786540 NAB786540 NJX786540 NTT786540 ODP786540 ONL786540 OXH786540 PHD786540 PQZ786540 QAV786540 QKR786540 QUN786540 REJ786540 ROF786540 RYB786540 SHX786540 SRT786540 TBP786540 TLL786540 TVH786540 UFD786540 UOZ786540 UYV786540 VIR786540 VSN786540 WCJ786540 WMF786540 WWB786540 T852076 JP852076 TL852076 ADH852076 AND852076 AWZ852076 BGV852076 BQR852076 CAN852076 CKJ852076 CUF852076 DEB852076 DNX852076 DXT852076 EHP852076 ERL852076 FBH852076 FLD852076 FUZ852076 GEV852076 GOR852076 GYN852076 HIJ852076 HSF852076 ICB852076 ILX852076 IVT852076 JFP852076 JPL852076 JZH852076 KJD852076 KSZ852076 LCV852076 LMR852076 LWN852076 MGJ852076 MQF852076 NAB852076 NJX852076 NTT852076 ODP852076 ONL852076 OXH852076 PHD852076 PQZ852076 QAV852076 QKR852076 QUN852076 REJ852076 ROF852076 RYB852076 SHX852076 SRT852076 TBP852076 TLL852076 TVH852076 UFD852076 UOZ852076 UYV852076 VIR852076 VSN852076 WCJ852076 WMF852076 WWB852076 T917612 JP917612 TL917612 ADH917612 AND917612 AWZ917612 BGV917612 BQR917612 CAN917612 CKJ917612 CUF917612 DEB917612 DNX917612 DXT917612 EHP917612 ERL917612 FBH917612 FLD917612 FUZ917612 GEV917612 GOR917612 GYN917612 HIJ917612 HSF917612 ICB917612 ILX917612 IVT917612 JFP917612 JPL917612 JZH917612 KJD917612 KSZ917612 LCV917612 LMR917612 LWN917612 MGJ917612 MQF917612 NAB917612 NJX917612 NTT917612 ODP917612 ONL917612 OXH917612 PHD917612 PQZ917612 QAV917612 QKR917612 QUN917612 REJ917612 ROF917612 RYB917612 SHX917612 SRT917612 TBP917612 TLL917612 TVH917612 UFD917612 UOZ917612 UYV917612 VIR917612 VSN917612 WCJ917612 WMF917612 WWB917612 T983148 JP983148 TL983148 ADH983148 AND983148 AWZ983148 BGV983148 BQR983148 CAN983148 CKJ983148 CUF983148 DEB983148 DNX983148 DXT983148 EHP983148 ERL983148 FBH983148 FLD983148 FUZ983148 GEV983148 GOR983148 GYN983148 HIJ983148 HSF983148 ICB983148 ILX983148 IVT983148 JFP983148 JPL983148 JZH983148 KJD983148 KSZ983148 LCV983148 LMR983148 LWN983148 MGJ983148 MQF983148 NAB983148 NJX983148 NTT983148 ODP983148 ONL983148 OXH983148 PHD983148 PQZ983148 QAV983148 QKR983148 QUN983148 REJ983148 ROF983148 RYB983148 SHX983148 SRT983148 TBP983148 TLL983148 TVH983148 UFD983148 UOZ983148 UYV983148 VIR983148 VSN983148 WCJ983148 WMF983148 T114" xr:uid="{00000000-0002-0000-0400-000003000000}"/>
    <dataValidation allowBlank="1" showInputMessage="1" showErrorMessage="1" prompt="Bộ Quốc phòng_x000a_" sqref="WVY983077 JM57 TI57 ADE57 ANA57 AWW57 BGS57 BQO57 CAK57 CKG57 CUC57 DDY57 DNU57 DXQ57 EHM57 ERI57 FBE57 FLA57 FUW57 GES57 GOO57 GYK57 HIG57 HSC57 IBY57 ILU57 IVQ57 JFM57 JPI57 JZE57 KJA57 KSW57 LCS57 LMO57 LWK57 MGG57 MQC57 MZY57 NJU57 NTQ57 ODM57 ONI57 OXE57 PHA57 PQW57 QAS57 QKO57 QUK57 REG57 ROC57 RXY57 SHU57 SRQ57 TBM57 TLI57 TVE57 UFA57 UOW57 UYS57 VIO57 VSK57 WCG57 WMC57 WVY5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xr:uid="{00000000-0002-0000-0400-000004000000}"/>
    <dataValidation allowBlank="1" showInputMessage="1" showErrorMessage="1" prompt="_x000a_" sqref="WVW983070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O36" xr:uid="{00000000-0002-0000-0400-000005000000}"/>
  </dataValidations>
  <printOptions horizontalCentered="1"/>
  <pageMargins left="0" right="0" top="0.75" bottom="0.5" header="0.3" footer="0.3"/>
  <pageSetup paperSize="9" scale="4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8"/>
  <sheetViews>
    <sheetView zoomScale="80" zoomScaleNormal="80" workbookViewId="0">
      <selection activeCell="A4" sqref="A4:T4"/>
    </sheetView>
  </sheetViews>
  <sheetFormatPr defaultColWidth="9.140625" defaultRowHeight="15" x14ac:dyDescent="0.25"/>
  <cols>
    <col min="1" max="1" width="6.42578125" style="49" customWidth="1"/>
    <col min="2" max="2" width="20.42578125" style="49" customWidth="1"/>
    <col min="3" max="3" width="12.42578125" style="49" customWidth="1"/>
    <col min="4" max="5" width="12.85546875" style="49" customWidth="1"/>
    <col min="6" max="7" width="10.5703125" style="49" customWidth="1"/>
    <col min="8" max="8" width="10.42578125" style="49" customWidth="1"/>
    <col min="9" max="9" width="12.42578125" style="49" customWidth="1"/>
    <col min="10" max="10" width="13.42578125" style="49" customWidth="1"/>
    <col min="11" max="11" width="12" style="49" customWidth="1"/>
    <col min="12" max="12" width="11.42578125" style="49" customWidth="1"/>
    <col min="13" max="13" width="11" style="49" customWidth="1"/>
    <col min="14" max="14" width="11.42578125" style="49" customWidth="1"/>
    <col min="15" max="15" width="7.42578125" style="49" customWidth="1"/>
    <col min="16" max="16" width="8.5703125" style="49" customWidth="1"/>
    <col min="17" max="17" width="9" style="49" customWidth="1"/>
    <col min="18" max="18" width="8.5703125" style="49" customWidth="1"/>
    <col min="19" max="19" width="10.42578125" style="49" customWidth="1"/>
    <col min="20" max="20" width="8.28515625" style="49" customWidth="1"/>
    <col min="21" max="22" width="9.140625" style="49"/>
    <col min="23" max="23" width="9.42578125" style="49" bestFit="1" customWidth="1"/>
    <col min="24" max="16384" width="9.140625" style="49"/>
  </cols>
  <sheetData>
    <row r="1" spans="1:23" s="9" customFormat="1" ht="15.75" x14ac:dyDescent="0.25">
      <c r="A1" s="15"/>
      <c r="R1" s="15" t="s">
        <v>105</v>
      </c>
    </row>
    <row r="2" spans="1:23" s="9" customFormat="1" ht="15.75" x14ac:dyDescent="0.25">
      <c r="A2" s="119"/>
    </row>
    <row r="3" spans="1:23" s="9" customFormat="1" ht="16.5" x14ac:dyDescent="0.25">
      <c r="A3" s="318" t="s">
        <v>673</v>
      </c>
      <c r="B3" s="318"/>
      <c r="C3" s="318"/>
      <c r="D3" s="318"/>
      <c r="E3" s="318"/>
      <c r="F3" s="318"/>
      <c r="G3" s="318"/>
      <c r="H3" s="318"/>
      <c r="I3" s="318"/>
      <c r="J3" s="318"/>
      <c r="K3" s="318"/>
      <c r="L3" s="318"/>
      <c r="M3" s="318"/>
      <c r="N3" s="318"/>
      <c r="O3" s="318"/>
      <c r="P3" s="318"/>
      <c r="Q3" s="318"/>
      <c r="R3" s="318"/>
      <c r="S3" s="318"/>
      <c r="T3" s="318"/>
    </row>
    <row r="4" spans="1:23" s="9" customFormat="1" ht="15.75" x14ac:dyDescent="0.25">
      <c r="A4" s="319" t="s">
        <v>708</v>
      </c>
      <c r="B4" s="319"/>
      <c r="C4" s="319"/>
      <c r="D4" s="319"/>
      <c r="E4" s="319"/>
      <c r="F4" s="319"/>
      <c r="G4" s="319"/>
      <c r="H4" s="319"/>
      <c r="I4" s="319"/>
      <c r="J4" s="319"/>
      <c r="K4" s="319"/>
      <c r="L4" s="319"/>
      <c r="M4" s="319"/>
      <c r="N4" s="319"/>
      <c r="O4" s="319"/>
      <c r="P4" s="319"/>
      <c r="Q4" s="319"/>
      <c r="R4" s="319"/>
      <c r="S4" s="319"/>
      <c r="T4" s="319"/>
    </row>
    <row r="5" spans="1:23" s="9" customFormat="1" ht="15.75" x14ac:dyDescent="0.25">
      <c r="B5" s="20"/>
      <c r="C5" s="10"/>
      <c r="D5" s="6"/>
      <c r="I5" s="6"/>
      <c r="J5" s="6"/>
      <c r="S5" s="120" t="s">
        <v>1</v>
      </c>
    </row>
    <row r="6" spans="1:23" s="26" customFormat="1" ht="15.75" x14ac:dyDescent="0.25">
      <c r="A6" s="336" t="s">
        <v>2</v>
      </c>
      <c r="B6" s="336" t="s">
        <v>106</v>
      </c>
      <c r="C6" s="336" t="s">
        <v>150</v>
      </c>
      <c r="D6" s="336"/>
      <c r="E6" s="336"/>
      <c r="F6" s="336"/>
      <c r="G6" s="336"/>
      <c r="H6" s="336"/>
      <c r="I6" s="336" t="s">
        <v>151</v>
      </c>
      <c r="J6" s="336"/>
      <c r="K6" s="336"/>
      <c r="L6" s="336"/>
      <c r="M6" s="336"/>
      <c r="N6" s="336"/>
      <c r="O6" s="336" t="s">
        <v>109</v>
      </c>
      <c r="P6" s="336"/>
      <c r="Q6" s="336"/>
      <c r="R6" s="336"/>
      <c r="S6" s="336"/>
      <c r="T6" s="336"/>
    </row>
    <row r="7" spans="1:23" s="26" customFormat="1" ht="15.75" x14ac:dyDescent="0.25">
      <c r="A7" s="336"/>
      <c r="B7" s="336"/>
      <c r="C7" s="336" t="s">
        <v>110</v>
      </c>
      <c r="D7" s="336" t="s">
        <v>111</v>
      </c>
      <c r="E7" s="336" t="s">
        <v>112</v>
      </c>
      <c r="F7" s="336"/>
      <c r="G7" s="336"/>
      <c r="H7" s="336"/>
      <c r="I7" s="336" t="s">
        <v>110</v>
      </c>
      <c r="J7" s="336" t="s">
        <v>111</v>
      </c>
      <c r="K7" s="336" t="s">
        <v>112</v>
      </c>
      <c r="L7" s="336"/>
      <c r="M7" s="336"/>
      <c r="N7" s="336"/>
      <c r="O7" s="336" t="s">
        <v>110</v>
      </c>
      <c r="P7" s="336" t="s">
        <v>111</v>
      </c>
      <c r="Q7" s="336" t="s">
        <v>112</v>
      </c>
      <c r="R7" s="336"/>
      <c r="S7" s="336"/>
      <c r="T7" s="336"/>
    </row>
    <row r="8" spans="1:23" s="26" customFormat="1" ht="204.75" customHeight="1" x14ac:dyDescent="0.25">
      <c r="A8" s="336"/>
      <c r="B8" s="336"/>
      <c r="C8" s="336"/>
      <c r="D8" s="336"/>
      <c r="E8" s="115" t="s">
        <v>110</v>
      </c>
      <c r="F8" s="115" t="s">
        <v>113</v>
      </c>
      <c r="G8" s="115" t="s">
        <v>114</v>
      </c>
      <c r="H8" s="115" t="s">
        <v>115</v>
      </c>
      <c r="I8" s="336"/>
      <c r="J8" s="336"/>
      <c r="K8" s="115" t="s">
        <v>110</v>
      </c>
      <c r="L8" s="115" t="s">
        <v>113</v>
      </c>
      <c r="M8" s="115" t="s">
        <v>114</v>
      </c>
      <c r="N8" s="115" t="s">
        <v>115</v>
      </c>
      <c r="O8" s="336"/>
      <c r="P8" s="336"/>
      <c r="Q8" s="115" t="s">
        <v>110</v>
      </c>
      <c r="R8" s="115" t="s">
        <v>113</v>
      </c>
      <c r="S8" s="115" t="s">
        <v>114</v>
      </c>
      <c r="T8" s="115" t="s">
        <v>115</v>
      </c>
    </row>
    <row r="9" spans="1:23" s="9" customFormat="1" ht="31.5" x14ac:dyDescent="0.25">
      <c r="A9" s="116" t="s">
        <v>7</v>
      </c>
      <c r="B9" s="116" t="s">
        <v>8</v>
      </c>
      <c r="C9" s="116">
        <v>1</v>
      </c>
      <c r="D9" s="116">
        <v>2</v>
      </c>
      <c r="E9" s="116">
        <v>3</v>
      </c>
      <c r="F9" s="116">
        <v>4</v>
      </c>
      <c r="G9" s="116">
        <v>5</v>
      </c>
      <c r="H9" s="116">
        <v>6</v>
      </c>
      <c r="I9" s="116">
        <v>7</v>
      </c>
      <c r="J9" s="116">
        <v>8</v>
      </c>
      <c r="K9" s="116">
        <v>9</v>
      </c>
      <c r="L9" s="116">
        <v>10</v>
      </c>
      <c r="M9" s="116">
        <v>11</v>
      </c>
      <c r="N9" s="116">
        <v>12</v>
      </c>
      <c r="O9" s="116" t="s">
        <v>116</v>
      </c>
      <c r="P9" s="116" t="s">
        <v>117</v>
      </c>
      <c r="Q9" s="116" t="s">
        <v>118</v>
      </c>
      <c r="R9" s="116" t="s">
        <v>119</v>
      </c>
      <c r="S9" s="116" t="s">
        <v>120</v>
      </c>
      <c r="T9" s="116" t="s">
        <v>121</v>
      </c>
    </row>
    <row r="10" spans="1:23" s="9" customFormat="1" ht="19.5" customHeight="1" x14ac:dyDescent="0.25">
      <c r="A10" s="3"/>
      <c r="B10" s="3" t="s">
        <v>98</v>
      </c>
      <c r="C10" s="12">
        <f>SUM(C11:C20)</f>
        <v>3662991</v>
      </c>
      <c r="D10" s="12">
        <f t="shared" ref="D10:N10" si="0">SUM(D11:D20)</f>
        <v>2446169</v>
      </c>
      <c r="E10" s="12">
        <f t="shared" si="0"/>
        <v>1216822</v>
      </c>
      <c r="F10" s="12">
        <f t="shared" si="0"/>
        <v>206185</v>
      </c>
      <c r="G10" s="12">
        <f t="shared" si="0"/>
        <v>41833</v>
      </c>
      <c r="H10" s="12">
        <f t="shared" si="0"/>
        <v>968804</v>
      </c>
      <c r="I10" s="12">
        <f t="shared" si="0"/>
        <v>3815518.027952</v>
      </c>
      <c r="J10" s="22">
        <f t="shared" si="0"/>
        <v>2433666.6608320004</v>
      </c>
      <c r="K10" s="22">
        <f t="shared" si="0"/>
        <v>1381851.3671199998</v>
      </c>
      <c r="L10" s="22">
        <f t="shared" si="0"/>
        <v>289904.26726400002</v>
      </c>
      <c r="M10" s="22">
        <f t="shared" si="0"/>
        <v>106159.54153799999</v>
      </c>
      <c r="N10" s="22">
        <f t="shared" si="0"/>
        <v>985787.55831800005</v>
      </c>
      <c r="O10" s="97">
        <f t="shared" ref="O10:S20" si="1">I10/C10%</f>
        <v>104.1640022580454</v>
      </c>
      <c r="P10" s="98">
        <f t="shared" si="1"/>
        <v>99.48890125056775</v>
      </c>
      <c r="Q10" s="12">
        <f t="shared" si="1"/>
        <v>113.56232605261903</v>
      </c>
      <c r="R10" s="12">
        <f t="shared" si="1"/>
        <v>140.60395628391979</v>
      </c>
      <c r="S10" s="12">
        <f t="shared" si="1"/>
        <v>253.76985044821072</v>
      </c>
      <c r="T10" s="98"/>
      <c r="W10" s="6"/>
    </row>
    <row r="11" spans="1:23" s="9" customFormat="1" ht="27.75" customHeight="1" x14ac:dyDescent="0.25">
      <c r="A11" s="32">
        <v>1</v>
      </c>
      <c r="B11" s="31" t="s">
        <v>134</v>
      </c>
      <c r="C11" s="4">
        <f>D11+E11</f>
        <v>424222</v>
      </c>
      <c r="D11" s="4">
        <v>273226</v>
      </c>
      <c r="E11" s="13">
        <f>F11+G11+H11</f>
        <v>150996</v>
      </c>
      <c r="F11" s="13">
        <v>100885</v>
      </c>
      <c r="G11" s="13">
        <v>5642</v>
      </c>
      <c r="H11" s="13">
        <v>44469</v>
      </c>
      <c r="I11" s="13">
        <f>J11+K11</f>
        <v>441320.9</v>
      </c>
      <c r="J11" s="14">
        <v>273226</v>
      </c>
      <c r="K11" s="14">
        <f>L11+M11+N11</f>
        <v>168094.9</v>
      </c>
      <c r="L11" s="14">
        <v>123192.4</v>
      </c>
      <c r="M11" s="14">
        <v>305.5</v>
      </c>
      <c r="N11" s="14">
        <v>44597</v>
      </c>
      <c r="O11" s="23">
        <f t="shared" si="1"/>
        <v>104.03064904696126</v>
      </c>
      <c r="P11" s="5">
        <f t="shared" si="1"/>
        <v>99.999999999999986</v>
      </c>
      <c r="Q11" s="13">
        <f t="shared" si="1"/>
        <v>111.32407480992873</v>
      </c>
      <c r="R11" s="13">
        <f t="shared" si="1"/>
        <v>122.11171135451255</v>
      </c>
      <c r="S11" s="13">
        <f>M11/G11%</f>
        <v>5.4147465437788016</v>
      </c>
      <c r="T11" s="5"/>
      <c r="W11" s="6"/>
    </row>
    <row r="12" spans="1:23" s="9" customFormat="1" ht="15.75" x14ac:dyDescent="0.25">
      <c r="A12" s="32">
        <v>2</v>
      </c>
      <c r="B12" s="31" t="s">
        <v>133</v>
      </c>
      <c r="C12" s="4">
        <f t="shared" ref="C12:C20" si="2">D12+E12</f>
        <v>473235</v>
      </c>
      <c r="D12" s="4">
        <v>371909</v>
      </c>
      <c r="E12" s="13">
        <f t="shared" ref="E12:E20" si="3">F12+G12+H12</f>
        <v>101326</v>
      </c>
      <c r="F12" s="13">
        <v>15100</v>
      </c>
      <c r="G12" s="13">
        <v>3376</v>
      </c>
      <c r="H12" s="13">
        <v>82850</v>
      </c>
      <c r="I12" s="13">
        <f t="shared" ref="I12:I20" si="4">J12+K12</f>
        <v>474808.33816599997</v>
      </c>
      <c r="J12" s="14">
        <v>369999.91258399998</v>
      </c>
      <c r="K12" s="14">
        <f>L12+M12+N12</f>
        <v>104808.425582</v>
      </c>
      <c r="L12" s="14">
        <v>29356.425581999996</v>
      </c>
      <c r="M12" s="14"/>
      <c r="N12" s="14">
        <v>75452</v>
      </c>
      <c r="O12" s="23">
        <f t="shared" si="1"/>
        <v>100.33246445550307</v>
      </c>
      <c r="P12" s="5">
        <f t="shared" si="1"/>
        <v>99.486678887577327</v>
      </c>
      <c r="Q12" s="13">
        <f t="shared" si="1"/>
        <v>103.43685291238181</v>
      </c>
      <c r="R12" s="13">
        <f t="shared" si="1"/>
        <v>194.41341445033109</v>
      </c>
      <c r="S12" s="13">
        <f t="shared" si="1"/>
        <v>0</v>
      </c>
      <c r="T12" s="5"/>
      <c r="W12" s="6"/>
    </row>
    <row r="13" spans="1:23" s="9" customFormat="1" ht="15.75" x14ac:dyDescent="0.25">
      <c r="A13" s="32">
        <v>3</v>
      </c>
      <c r="B13" s="31" t="s">
        <v>135</v>
      </c>
      <c r="C13" s="4">
        <f t="shared" si="2"/>
        <v>346068</v>
      </c>
      <c r="D13" s="4">
        <v>257450</v>
      </c>
      <c r="E13" s="13">
        <f t="shared" si="3"/>
        <v>88618</v>
      </c>
      <c r="F13" s="13">
        <v>14000</v>
      </c>
      <c r="G13" s="13">
        <v>3282</v>
      </c>
      <c r="H13" s="13">
        <v>71336</v>
      </c>
      <c r="I13" s="13">
        <f t="shared" si="4"/>
        <v>361874</v>
      </c>
      <c r="J13" s="14">
        <v>257450</v>
      </c>
      <c r="K13" s="14">
        <f t="shared" ref="K13:K20" si="5">L13+M13+N13</f>
        <v>104424</v>
      </c>
      <c r="L13" s="14">
        <v>26163.441682000004</v>
      </c>
      <c r="M13" s="14">
        <v>9529</v>
      </c>
      <c r="N13" s="14">
        <v>68731.558317999996</v>
      </c>
      <c r="O13" s="23">
        <f t="shared" si="1"/>
        <v>104.56731047077453</v>
      </c>
      <c r="P13" s="5">
        <f t="shared" si="1"/>
        <v>100</v>
      </c>
      <c r="Q13" s="13">
        <f t="shared" si="1"/>
        <v>117.83610553160759</v>
      </c>
      <c r="R13" s="13">
        <f t="shared" si="1"/>
        <v>186.88172630000003</v>
      </c>
      <c r="S13" s="13">
        <f>M13/G13%</f>
        <v>290.34125533211454</v>
      </c>
      <c r="T13" s="5"/>
      <c r="W13" s="6"/>
    </row>
    <row r="14" spans="1:23" s="9" customFormat="1" ht="15.75" x14ac:dyDescent="0.25">
      <c r="A14" s="32">
        <v>4</v>
      </c>
      <c r="B14" s="31" t="s">
        <v>601</v>
      </c>
      <c r="C14" s="4">
        <f t="shared" si="2"/>
        <v>323968</v>
      </c>
      <c r="D14" s="4">
        <v>241315</v>
      </c>
      <c r="E14" s="13">
        <f t="shared" si="3"/>
        <v>82653</v>
      </c>
      <c r="F14" s="13">
        <v>5800</v>
      </c>
      <c r="G14" s="13">
        <v>3228</v>
      </c>
      <c r="H14" s="13">
        <v>73625</v>
      </c>
      <c r="I14" s="13">
        <f t="shared" si="4"/>
        <v>347767.82553799998</v>
      </c>
      <c r="J14" s="14">
        <v>241315</v>
      </c>
      <c r="K14" s="14">
        <f t="shared" si="5"/>
        <v>106452.825538</v>
      </c>
      <c r="L14" s="14">
        <v>5800</v>
      </c>
      <c r="M14" s="14">
        <v>6799.8255380000046</v>
      </c>
      <c r="N14" s="14">
        <v>93853</v>
      </c>
      <c r="O14" s="23">
        <f t="shared" si="1"/>
        <v>107.34635073155373</v>
      </c>
      <c r="P14" s="5">
        <f t="shared" si="1"/>
        <v>100</v>
      </c>
      <c r="Q14" s="13">
        <f t="shared" si="1"/>
        <v>128.79487198044839</v>
      </c>
      <c r="R14" s="13">
        <f t="shared" si="1"/>
        <v>100</v>
      </c>
      <c r="S14" s="13">
        <f t="shared" si="1"/>
        <v>210.65134876084275</v>
      </c>
      <c r="T14" s="5"/>
      <c r="W14" s="6"/>
    </row>
    <row r="15" spans="1:23" s="9" customFormat="1" ht="15.75" x14ac:dyDescent="0.25">
      <c r="A15" s="32">
        <v>5</v>
      </c>
      <c r="B15" s="31" t="s">
        <v>147</v>
      </c>
      <c r="C15" s="4">
        <f t="shared" si="2"/>
        <v>523512</v>
      </c>
      <c r="D15" s="4">
        <v>398242</v>
      </c>
      <c r="E15" s="13">
        <f t="shared" si="3"/>
        <v>125270</v>
      </c>
      <c r="F15" s="13">
        <v>8000</v>
      </c>
      <c r="G15" s="13">
        <v>5048</v>
      </c>
      <c r="H15" s="13">
        <v>112222</v>
      </c>
      <c r="I15" s="13">
        <f t="shared" si="4"/>
        <v>536748</v>
      </c>
      <c r="J15" s="14">
        <v>398242</v>
      </c>
      <c r="K15" s="14">
        <f t="shared" si="5"/>
        <v>138506</v>
      </c>
      <c r="L15" s="14">
        <v>9776</v>
      </c>
      <c r="M15" s="14">
        <v>12028</v>
      </c>
      <c r="N15" s="14">
        <v>116702</v>
      </c>
      <c r="O15" s="23">
        <f t="shared" si="1"/>
        <v>102.52830880667491</v>
      </c>
      <c r="P15" s="5">
        <f t="shared" si="1"/>
        <v>100</v>
      </c>
      <c r="Q15" s="13">
        <f>K15/E15%</f>
        <v>110.56597748862457</v>
      </c>
      <c r="R15" s="13">
        <f>L15/F15%</f>
        <v>122.2</v>
      </c>
      <c r="S15" s="13">
        <f t="shared" si="1"/>
        <v>238.27258320126785</v>
      </c>
      <c r="T15" s="5"/>
      <c r="W15" s="6"/>
    </row>
    <row r="16" spans="1:23" s="9" customFormat="1" ht="15.75" x14ac:dyDescent="0.25">
      <c r="A16" s="32">
        <v>6</v>
      </c>
      <c r="B16" s="31" t="s">
        <v>164</v>
      </c>
      <c r="C16" s="4">
        <f t="shared" si="2"/>
        <v>391936</v>
      </c>
      <c r="D16" s="4">
        <v>301282</v>
      </c>
      <c r="E16" s="13">
        <f t="shared" si="3"/>
        <v>90654</v>
      </c>
      <c r="F16" s="13">
        <v>10400</v>
      </c>
      <c r="G16" s="13">
        <v>3231</v>
      </c>
      <c r="H16" s="13">
        <v>77023</v>
      </c>
      <c r="I16" s="13">
        <f t="shared" si="4"/>
        <v>401871.15700000001</v>
      </c>
      <c r="J16" s="14">
        <v>295321.70600000001</v>
      </c>
      <c r="K16" s="14">
        <f t="shared" si="5"/>
        <v>106549.451</v>
      </c>
      <c r="L16" s="14">
        <v>40695</v>
      </c>
      <c r="M16" s="14">
        <v>29526.451000000001</v>
      </c>
      <c r="N16" s="14">
        <v>36328</v>
      </c>
      <c r="O16" s="23">
        <f t="shared" si="1"/>
        <v>102.53489268656107</v>
      </c>
      <c r="P16" s="5">
        <f t="shared" si="1"/>
        <v>98.021689314330089</v>
      </c>
      <c r="Q16" s="13">
        <f t="shared" si="1"/>
        <v>117.53419705694178</v>
      </c>
      <c r="R16" s="13">
        <f t="shared" si="1"/>
        <v>391.29807692307691</v>
      </c>
      <c r="S16" s="13">
        <f t="shared" si="1"/>
        <v>913.84868461776534</v>
      </c>
      <c r="T16" s="5"/>
      <c r="W16" s="6"/>
    </row>
    <row r="17" spans="1:23" s="9" customFormat="1" ht="15.75" x14ac:dyDescent="0.25">
      <c r="A17" s="32">
        <v>7</v>
      </c>
      <c r="B17" s="31" t="s">
        <v>602</v>
      </c>
      <c r="C17" s="4">
        <f t="shared" si="2"/>
        <v>217446</v>
      </c>
      <c r="D17" s="4">
        <v>95268</v>
      </c>
      <c r="E17" s="13">
        <f t="shared" si="3"/>
        <v>122178</v>
      </c>
      <c r="F17" s="13">
        <v>5300</v>
      </c>
      <c r="G17" s="13">
        <v>2797</v>
      </c>
      <c r="H17" s="13">
        <v>114081</v>
      </c>
      <c r="I17" s="13">
        <f t="shared" si="4"/>
        <v>224149.67290000001</v>
      </c>
      <c r="J17" s="14">
        <v>94633.248899999991</v>
      </c>
      <c r="K17" s="14">
        <f t="shared" si="5"/>
        <v>129516.424</v>
      </c>
      <c r="L17" s="14">
        <v>7030</v>
      </c>
      <c r="M17" s="14">
        <v>4359.4240000000009</v>
      </c>
      <c r="N17" s="14">
        <v>118127</v>
      </c>
      <c r="O17" s="23">
        <f t="shared" si="1"/>
        <v>103.08291387286958</v>
      </c>
      <c r="P17" s="5">
        <f t="shared" si="1"/>
        <v>99.333720556745178</v>
      </c>
      <c r="Q17" s="13">
        <f t="shared" si="1"/>
        <v>106.00633829330977</v>
      </c>
      <c r="R17" s="13">
        <f t="shared" si="1"/>
        <v>132.64150943396226</v>
      </c>
      <c r="S17" s="13">
        <f t="shared" si="1"/>
        <v>155.86070790132288</v>
      </c>
      <c r="T17" s="5"/>
      <c r="W17" s="6"/>
    </row>
    <row r="18" spans="1:23" s="9" customFormat="1" ht="15.75" x14ac:dyDescent="0.25">
      <c r="A18" s="32">
        <v>8</v>
      </c>
      <c r="B18" s="31" t="s">
        <v>132</v>
      </c>
      <c r="C18" s="4">
        <f t="shared" si="2"/>
        <v>283246</v>
      </c>
      <c r="D18" s="4">
        <v>196412</v>
      </c>
      <c r="E18" s="13">
        <f t="shared" si="3"/>
        <v>86834</v>
      </c>
      <c r="F18" s="13">
        <v>8400</v>
      </c>
      <c r="G18" s="13">
        <v>3097</v>
      </c>
      <c r="H18" s="13">
        <v>75337</v>
      </c>
      <c r="I18" s="13">
        <f t="shared" si="4"/>
        <v>291129.01875400002</v>
      </c>
      <c r="J18" s="14">
        <v>193436.12275400001</v>
      </c>
      <c r="K18" s="14">
        <f t="shared" si="5"/>
        <v>97692.895999999993</v>
      </c>
      <c r="L18" s="14">
        <v>7883</v>
      </c>
      <c r="M18" s="14">
        <v>13417.895999999993</v>
      </c>
      <c r="N18" s="14">
        <v>76392</v>
      </c>
      <c r="O18" s="23">
        <f t="shared" si="1"/>
        <v>102.78309976275041</v>
      </c>
      <c r="P18" s="5">
        <f t="shared" si="1"/>
        <v>98.484880126468866</v>
      </c>
      <c r="Q18" s="13">
        <f t="shared" si="1"/>
        <v>112.50535043876822</v>
      </c>
      <c r="R18" s="13">
        <f t="shared" si="1"/>
        <v>93.845238095238102</v>
      </c>
      <c r="S18" s="13">
        <f t="shared" si="1"/>
        <v>433.25463351630589</v>
      </c>
      <c r="T18" s="5"/>
      <c r="W18" s="6"/>
    </row>
    <row r="19" spans="1:23" s="9" customFormat="1" ht="15.75" x14ac:dyDescent="0.25">
      <c r="A19" s="32">
        <v>9</v>
      </c>
      <c r="B19" s="31" t="s">
        <v>163</v>
      </c>
      <c r="C19" s="4">
        <f t="shared" si="2"/>
        <v>193969</v>
      </c>
      <c r="D19" s="4">
        <v>27552</v>
      </c>
      <c r="E19" s="13">
        <f t="shared" si="3"/>
        <v>166417</v>
      </c>
      <c r="F19" s="13">
        <v>32800</v>
      </c>
      <c r="G19" s="13">
        <v>7775</v>
      </c>
      <c r="H19" s="13">
        <v>125842</v>
      </c>
      <c r="I19" s="13">
        <f t="shared" si="4"/>
        <v>199141.55499999999</v>
      </c>
      <c r="J19" s="14">
        <v>27441.555</v>
      </c>
      <c r="K19" s="14">
        <f t="shared" si="5"/>
        <v>171700</v>
      </c>
      <c r="L19" s="14">
        <v>32690</v>
      </c>
      <c r="M19" s="14">
        <v>10550</v>
      </c>
      <c r="N19" s="14">
        <v>128460</v>
      </c>
      <c r="O19" s="23">
        <f t="shared" si="1"/>
        <v>102.66669158473776</v>
      </c>
      <c r="P19" s="5">
        <f t="shared" si="1"/>
        <v>99.599139808362381</v>
      </c>
      <c r="Q19" s="13">
        <f t="shared" si="1"/>
        <v>103.1745554841152</v>
      </c>
      <c r="R19" s="13">
        <f t="shared" si="1"/>
        <v>99.66463414634147</v>
      </c>
      <c r="S19" s="13">
        <f t="shared" si="1"/>
        <v>135.69131832797427</v>
      </c>
      <c r="T19" s="5"/>
      <c r="W19" s="6"/>
    </row>
    <row r="20" spans="1:23" s="9" customFormat="1" ht="15.75" x14ac:dyDescent="0.25">
      <c r="A20" s="32">
        <v>10</v>
      </c>
      <c r="B20" s="31" t="s">
        <v>148</v>
      </c>
      <c r="C20" s="4">
        <f t="shared" si="2"/>
        <v>485389</v>
      </c>
      <c r="D20" s="4">
        <v>283513</v>
      </c>
      <c r="E20" s="13">
        <f t="shared" si="3"/>
        <v>201876</v>
      </c>
      <c r="F20" s="13">
        <v>5500</v>
      </c>
      <c r="G20" s="13">
        <v>4357</v>
      </c>
      <c r="H20" s="13">
        <v>192019</v>
      </c>
      <c r="I20" s="13">
        <f t="shared" si="4"/>
        <v>536707.56059399992</v>
      </c>
      <c r="J20" s="14">
        <v>282601.11559399997</v>
      </c>
      <c r="K20" s="14">
        <f t="shared" si="5"/>
        <v>254106.44500000001</v>
      </c>
      <c r="L20" s="14">
        <v>7318</v>
      </c>
      <c r="M20" s="14">
        <v>19643.445</v>
      </c>
      <c r="N20" s="14">
        <v>227145</v>
      </c>
      <c r="O20" s="23">
        <f t="shared" si="1"/>
        <v>110.57266658164892</v>
      </c>
      <c r="P20" s="5">
        <f t="shared" si="1"/>
        <v>99.678362401018632</v>
      </c>
      <c r="Q20" s="13">
        <f t="shared" si="1"/>
        <v>125.87253809269056</v>
      </c>
      <c r="R20" s="13">
        <f t="shared" si="1"/>
        <v>133.05454545454546</v>
      </c>
      <c r="S20" s="13">
        <f t="shared" si="1"/>
        <v>450.84794583428965</v>
      </c>
      <c r="T20" s="5"/>
      <c r="W20" s="6"/>
    </row>
    <row r="21" spans="1:23" s="9" customFormat="1" ht="15.75" x14ac:dyDescent="0.25">
      <c r="A21" s="17"/>
      <c r="B21" s="18"/>
      <c r="C21" s="19"/>
      <c r="D21" s="19"/>
      <c r="E21" s="19"/>
      <c r="F21" s="19"/>
      <c r="G21" s="19"/>
      <c r="H21" s="19"/>
      <c r="I21" s="19"/>
      <c r="J21" s="24"/>
      <c r="K21" s="24"/>
      <c r="L21" s="24"/>
      <c r="M21" s="24"/>
      <c r="N21" s="24"/>
      <c r="O21" s="24"/>
      <c r="P21" s="19"/>
      <c r="Q21" s="19"/>
      <c r="R21" s="19"/>
      <c r="S21" s="19"/>
      <c r="T21" s="19"/>
      <c r="W21" s="6"/>
    </row>
    <row r="22" spans="1:23" s="9" customFormat="1" ht="15.75" x14ac:dyDescent="0.25">
      <c r="A22" s="36"/>
      <c r="C22" s="10"/>
      <c r="D22" s="10"/>
      <c r="E22" s="10"/>
      <c r="F22" s="10"/>
      <c r="G22" s="10"/>
      <c r="H22" s="10"/>
      <c r="I22" s="10"/>
      <c r="J22" s="10"/>
      <c r="K22" s="10"/>
      <c r="L22" s="10"/>
      <c r="M22" s="10"/>
      <c r="N22" s="10"/>
      <c r="O22" s="10"/>
      <c r="P22" s="10"/>
      <c r="Q22" s="10"/>
      <c r="R22" s="10"/>
      <c r="S22" s="10"/>
      <c r="T22" s="10"/>
    </row>
    <row r="23" spans="1:23" x14ac:dyDescent="0.25">
      <c r="I23" s="121"/>
    </row>
    <row r="24" spans="1:23" x14ac:dyDescent="0.25">
      <c r="J24" s="122"/>
    </row>
    <row r="39" spans="4:4" x14ac:dyDescent="0.25">
      <c r="D39" s="109"/>
    </row>
    <row r="40" spans="4:4" x14ac:dyDescent="0.25">
      <c r="D40" s="109"/>
    </row>
    <row r="41" spans="4:4" x14ac:dyDescent="0.25">
      <c r="D41" s="109"/>
    </row>
    <row r="42" spans="4:4" x14ac:dyDescent="0.25">
      <c r="D42" s="109"/>
    </row>
    <row r="43" spans="4:4" x14ac:dyDescent="0.25">
      <c r="D43" s="109"/>
    </row>
    <row r="44" spans="4:4" x14ac:dyDescent="0.25">
      <c r="D44" s="109"/>
    </row>
    <row r="45" spans="4:4" x14ac:dyDescent="0.25">
      <c r="D45" s="109"/>
    </row>
    <row r="46" spans="4:4" x14ac:dyDescent="0.25">
      <c r="D46" s="109"/>
    </row>
    <row r="47" spans="4:4" x14ac:dyDescent="0.25">
      <c r="D47" s="109"/>
    </row>
    <row r="48" spans="4:4" x14ac:dyDescent="0.25">
      <c r="D48" s="109"/>
    </row>
  </sheetData>
  <mergeCells count="16">
    <mergeCell ref="K7:N7"/>
    <mergeCell ref="O7:O8"/>
    <mergeCell ref="P7:P8"/>
    <mergeCell ref="Q7:T7"/>
    <mergeCell ref="A3:T3"/>
    <mergeCell ref="A4:T4"/>
    <mergeCell ref="A6:A8"/>
    <mergeCell ref="B6:B8"/>
    <mergeCell ref="C6:H6"/>
    <mergeCell ref="I6:N6"/>
    <mergeCell ref="O6:T6"/>
    <mergeCell ref="C7:C8"/>
    <mergeCell ref="D7:D8"/>
    <mergeCell ref="E7:H7"/>
    <mergeCell ref="I7:I8"/>
    <mergeCell ref="J7:J8"/>
  </mergeCells>
  <printOptions horizontalCentered="1"/>
  <pageMargins left="0" right="0" top="0.75" bottom="0.25" header="0.3" footer="0.3"/>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8490-294E-4A1F-9ED5-3FC9689A2BD9}">
  <dimension ref="A1:BQ52"/>
  <sheetViews>
    <sheetView showZeros="0" zoomScale="90" zoomScaleNormal="90" workbookViewId="0">
      <selection activeCell="A4" sqref="A4:BO4"/>
    </sheetView>
  </sheetViews>
  <sheetFormatPr defaultColWidth="9.140625" defaultRowHeight="15" outlineLevelCol="1" x14ac:dyDescent="0.25"/>
  <cols>
    <col min="1" max="1" width="4.28515625" style="49" bestFit="1" customWidth="1"/>
    <col min="2" max="2" width="25" style="49" customWidth="1"/>
    <col min="3" max="3" width="10.7109375" style="49" customWidth="1"/>
    <col min="4" max="26" width="7.28515625" style="49" customWidth="1" outlineLevel="1"/>
    <col min="27" max="27" width="10.85546875" style="49" customWidth="1"/>
    <col min="28" max="28" width="10.42578125" style="49" customWidth="1" outlineLevel="1"/>
    <col min="29" max="29" width="9.5703125" style="49" customWidth="1" outlineLevel="1"/>
    <col min="30" max="50" width="7.28515625" style="49" customWidth="1" outlineLevel="1"/>
    <col min="51" max="51" width="11.5703125" style="49" customWidth="1"/>
    <col min="52" max="67" width="9.140625" style="49" customWidth="1" outlineLevel="1"/>
    <col min="68" max="16384" width="9.140625" style="49"/>
  </cols>
  <sheetData>
    <row r="1" spans="1:69" ht="15" customHeight="1" x14ac:dyDescent="0.25">
      <c r="A1" s="339"/>
      <c r="B1" s="339"/>
      <c r="Q1" s="340"/>
      <c r="R1" s="340"/>
      <c r="S1" s="340"/>
      <c r="X1" s="340"/>
      <c r="Y1" s="340"/>
      <c r="Z1" s="340"/>
      <c r="BO1" s="301" t="s">
        <v>122</v>
      </c>
    </row>
    <row r="2" spans="1:69" x14ac:dyDescent="0.25">
      <c r="A2" s="302"/>
    </row>
    <row r="3" spans="1:69" x14ac:dyDescent="0.25">
      <c r="A3" s="341" t="s">
        <v>674</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row>
    <row r="4" spans="1:69" x14ac:dyDescent="0.25">
      <c r="A4" s="342" t="s">
        <v>708</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row>
    <row r="5" spans="1:69" hidden="1" x14ac:dyDescent="0.25">
      <c r="AF5" s="303"/>
    </row>
    <row r="6" spans="1:69" x14ac:dyDescent="0.25">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BN6" s="256"/>
      <c r="BO6" s="256"/>
    </row>
    <row r="7" spans="1:69" s="105" customFormat="1" ht="24.75" customHeight="1" x14ac:dyDescent="0.25">
      <c r="A7" s="328" t="s">
        <v>2</v>
      </c>
      <c r="B7" s="328" t="s">
        <v>123</v>
      </c>
      <c r="C7" s="338" t="s">
        <v>675</v>
      </c>
      <c r="D7" s="338"/>
      <c r="E7" s="338"/>
      <c r="F7" s="338"/>
      <c r="G7" s="338"/>
      <c r="H7" s="338"/>
      <c r="I7" s="338"/>
      <c r="J7" s="338"/>
      <c r="K7" s="338"/>
      <c r="L7" s="338"/>
      <c r="M7" s="338"/>
      <c r="N7" s="338"/>
      <c r="O7" s="338"/>
      <c r="P7" s="338"/>
      <c r="Q7" s="338"/>
      <c r="R7" s="338"/>
      <c r="S7" s="338"/>
      <c r="T7" s="338"/>
      <c r="U7" s="338"/>
      <c r="V7" s="338"/>
      <c r="W7" s="338"/>
      <c r="X7" s="338"/>
      <c r="Y7" s="338"/>
      <c r="Z7" s="338"/>
      <c r="AA7" s="324" t="s">
        <v>5</v>
      </c>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t="s">
        <v>6</v>
      </c>
      <c r="AZ7" s="324"/>
      <c r="BA7" s="324"/>
      <c r="BB7" s="324"/>
      <c r="BC7" s="324"/>
      <c r="BD7" s="324"/>
      <c r="BE7" s="324"/>
      <c r="BF7" s="324"/>
      <c r="BG7" s="324"/>
      <c r="BH7" s="324"/>
      <c r="BI7" s="324"/>
      <c r="BJ7" s="324"/>
      <c r="BK7" s="324"/>
      <c r="BL7" s="324"/>
      <c r="BM7" s="324"/>
      <c r="BN7" s="324"/>
      <c r="BO7" s="324"/>
    </row>
    <row r="8" spans="1:69" ht="34.5" customHeight="1" x14ac:dyDescent="0.25">
      <c r="A8" s="328"/>
      <c r="B8" s="328"/>
      <c r="C8" s="328" t="s">
        <v>110</v>
      </c>
      <c r="D8" s="328" t="s">
        <v>124</v>
      </c>
      <c r="E8" s="328"/>
      <c r="F8" s="328" t="s">
        <v>130</v>
      </c>
      <c r="G8" s="328"/>
      <c r="H8" s="328"/>
      <c r="I8" s="328"/>
      <c r="J8" s="328"/>
      <c r="K8" s="328"/>
      <c r="L8" s="328"/>
      <c r="M8" s="328" t="s">
        <v>129</v>
      </c>
      <c r="N8" s="328"/>
      <c r="O8" s="328"/>
      <c r="P8" s="328"/>
      <c r="Q8" s="328"/>
      <c r="R8" s="328"/>
      <c r="S8" s="328"/>
      <c r="T8" s="328" t="s">
        <v>637</v>
      </c>
      <c r="U8" s="328"/>
      <c r="V8" s="328"/>
      <c r="W8" s="328"/>
      <c r="X8" s="328"/>
      <c r="Y8" s="328"/>
      <c r="Z8" s="328"/>
      <c r="AA8" s="328" t="s">
        <v>110</v>
      </c>
      <c r="AB8" s="328" t="s">
        <v>124</v>
      </c>
      <c r="AC8" s="328"/>
      <c r="AD8" s="328" t="s">
        <v>130</v>
      </c>
      <c r="AE8" s="328"/>
      <c r="AF8" s="328"/>
      <c r="AG8" s="328"/>
      <c r="AH8" s="328"/>
      <c r="AI8" s="328"/>
      <c r="AJ8" s="328"/>
      <c r="AK8" s="328" t="s">
        <v>129</v>
      </c>
      <c r="AL8" s="328"/>
      <c r="AM8" s="328"/>
      <c r="AN8" s="328"/>
      <c r="AO8" s="328"/>
      <c r="AP8" s="328"/>
      <c r="AQ8" s="328"/>
      <c r="AR8" s="328" t="s">
        <v>637</v>
      </c>
      <c r="AS8" s="328"/>
      <c r="AT8" s="328"/>
      <c r="AU8" s="328"/>
      <c r="AV8" s="328"/>
      <c r="AW8" s="328"/>
      <c r="AX8" s="328"/>
      <c r="AY8" s="328" t="s">
        <v>110</v>
      </c>
      <c r="AZ8" s="328" t="s">
        <v>124</v>
      </c>
      <c r="BA8" s="328"/>
      <c r="BB8" s="328" t="s">
        <v>130</v>
      </c>
      <c r="BC8" s="328"/>
      <c r="BD8" s="328"/>
      <c r="BE8" s="328"/>
      <c r="BF8" s="328"/>
      <c r="BG8" s="328"/>
      <c r="BH8" s="328"/>
      <c r="BI8" s="328" t="s">
        <v>129</v>
      </c>
      <c r="BJ8" s="328"/>
      <c r="BK8" s="328"/>
      <c r="BL8" s="328"/>
      <c r="BM8" s="328"/>
      <c r="BN8" s="328"/>
      <c r="BO8" s="328"/>
    </row>
    <row r="9" spans="1:69" x14ac:dyDescent="0.25">
      <c r="A9" s="328"/>
      <c r="B9" s="328"/>
      <c r="C9" s="328"/>
      <c r="D9" s="337" t="s">
        <v>125</v>
      </c>
      <c r="E9" s="337" t="s">
        <v>126</v>
      </c>
      <c r="F9" s="328" t="s">
        <v>110</v>
      </c>
      <c r="G9" s="337" t="s">
        <v>125</v>
      </c>
      <c r="H9" s="337"/>
      <c r="I9" s="337"/>
      <c r="J9" s="337" t="s">
        <v>126</v>
      </c>
      <c r="K9" s="337"/>
      <c r="L9" s="337"/>
      <c r="M9" s="328" t="s">
        <v>110</v>
      </c>
      <c r="N9" s="337" t="s">
        <v>125</v>
      </c>
      <c r="O9" s="337"/>
      <c r="P9" s="337"/>
      <c r="Q9" s="337" t="s">
        <v>126</v>
      </c>
      <c r="R9" s="337"/>
      <c r="S9" s="337"/>
      <c r="T9" s="328" t="s">
        <v>110</v>
      </c>
      <c r="U9" s="337" t="s">
        <v>125</v>
      </c>
      <c r="V9" s="337"/>
      <c r="W9" s="337"/>
      <c r="X9" s="337" t="s">
        <v>126</v>
      </c>
      <c r="Y9" s="337"/>
      <c r="Z9" s="337"/>
      <c r="AA9" s="328"/>
      <c r="AB9" s="337" t="s">
        <v>125</v>
      </c>
      <c r="AC9" s="337" t="s">
        <v>126</v>
      </c>
      <c r="AD9" s="328" t="s">
        <v>110</v>
      </c>
      <c r="AE9" s="337" t="s">
        <v>125</v>
      </c>
      <c r="AF9" s="337"/>
      <c r="AG9" s="337"/>
      <c r="AH9" s="337" t="s">
        <v>126</v>
      </c>
      <c r="AI9" s="337"/>
      <c r="AJ9" s="337"/>
      <c r="AK9" s="328" t="s">
        <v>110</v>
      </c>
      <c r="AL9" s="337" t="s">
        <v>125</v>
      </c>
      <c r="AM9" s="337"/>
      <c r="AN9" s="337"/>
      <c r="AO9" s="337" t="s">
        <v>126</v>
      </c>
      <c r="AP9" s="337"/>
      <c r="AQ9" s="337"/>
      <c r="AR9" s="328" t="s">
        <v>110</v>
      </c>
      <c r="AS9" s="337" t="s">
        <v>125</v>
      </c>
      <c r="AT9" s="337"/>
      <c r="AU9" s="337"/>
      <c r="AV9" s="337" t="s">
        <v>126</v>
      </c>
      <c r="AW9" s="337"/>
      <c r="AX9" s="337"/>
      <c r="AY9" s="328"/>
      <c r="AZ9" s="337" t="s">
        <v>125</v>
      </c>
      <c r="BA9" s="337" t="s">
        <v>126</v>
      </c>
      <c r="BB9" s="328" t="s">
        <v>110</v>
      </c>
      <c r="BC9" s="337" t="s">
        <v>125</v>
      </c>
      <c r="BD9" s="337"/>
      <c r="BE9" s="337"/>
      <c r="BF9" s="337" t="s">
        <v>126</v>
      </c>
      <c r="BG9" s="337"/>
      <c r="BH9" s="337"/>
      <c r="BI9" s="328" t="s">
        <v>110</v>
      </c>
      <c r="BJ9" s="337" t="s">
        <v>125</v>
      </c>
      <c r="BK9" s="337"/>
      <c r="BL9" s="337"/>
      <c r="BM9" s="337" t="s">
        <v>126</v>
      </c>
      <c r="BN9" s="337"/>
      <c r="BO9" s="337"/>
    </row>
    <row r="10" spans="1:69" ht="46.5" customHeight="1" x14ac:dyDescent="0.25">
      <c r="A10" s="328"/>
      <c r="B10" s="328"/>
      <c r="C10" s="328"/>
      <c r="D10" s="337"/>
      <c r="E10" s="337"/>
      <c r="F10" s="328"/>
      <c r="G10" s="99" t="s">
        <v>110</v>
      </c>
      <c r="H10" s="99" t="s">
        <v>127</v>
      </c>
      <c r="I10" s="99" t="s">
        <v>128</v>
      </c>
      <c r="J10" s="99" t="s">
        <v>110</v>
      </c>
      <c r="K10" s="99" t="s">
        <v>127</v>
      </c>
      <c r="L10" s="99" t="s">
        <v>128</v>
      </c>
      <c r="M10" s="328"/>
      <c r="N10" s="99" t="s">
        <v>110</v>
      </c>
      <c r="O10" s="99" t="s">
        <v>127</v>
      </c>
      <c r="P10" s="99" t="s">
        <v>128</v>
      </c>
      <c r="Q10" s="99" t="s">
        <v>110</v>
      </c>
      <c r="R10" s="99" t="s">
        <v>127</v>
      </c>
      <c r="S10" s="99" t="s">
        <v>128</v>
      </c>
      <c r="T10" s="328"/>
      <c r="U10" s="99" t="s">
        <v>110</v>
      </c>
      <c r="V10" s="99" t="s">
        <v>127</v>
      </c>
      <c r="W10" s="99" t="s">
        <v>128</v>
      </c>
      <c r="X10" s="99" t="s">
        <v>110</v>
      </c>
      <c r="Y10" s="99" t="s">
        <v>127</v>
      </c>
      <c r="Z10" s="99" t="s">
        <v>128</v>
      </c>
      <c r="AA10" s="328"/>
      <c r="AB10" s="337"/>
      <c r="AC10" s="337"/>
      <c r="AD10" s="328"/>
      <c r="AE10" s="99" t="s">
        <v>110</v>
      </c>
      <c r="AF10" s="99" t="s">
        <v>127</v>
      </c>
      <c r="AG10" s="99" t="s">
        <v>128</v>
      </c>
      <c r="AH10" s="99" t="s">
        <v>110</v>
      </c>
      <c r="AI10" s="99" t="s">
        <v>127</v>
      </c>
      <c r="AJ10" s="99" t="s">
        <v>128</v>
      </c>
      <c r="AK10" s="328"/>
      <c r="AL10" s="99" t="s">
        <v>110</v>
      </c>
      <c r="AM10" s="99" t="s">
        <v>127</v>
      </c>
      <c r="AN10" s="99" t="s">
        <v>128</v>
      </c>
      <c r="AO10" s="99" t="s">
        <v>110</v>
      </c>
      <c r="AP10" s="99" t="s">
        <v>127</v>
      </c>
      <c r="AQ10" s="99" t="s">
        <v>128</v>
      </c>
      <c r="AR10" s="328"/>
      <c r="AS10" s="99" t="s">
        <v>110</v>
      </c>
      <c r="AT10" s="99" t="s">
        <v>127</v>
      </c>
      <c r="AU10" s="99" t="s">
        <v>128</v>
      </c>
      <c r="AV10" s="99" t="s">
        <v>110</v>
      </c>
      <c r="AW10" s="99" t="s">
        <v>127</v>
      </c>
      <c r="AX10" s="99" t="s">
        <v>128</v>
      </c>
      <c r="AY10" s="328"/>
      <c r="AZ10" s="337"/>
      <c r="BA10" s="337"/>
      <c r="BB10" s="328"/>
      <c r="BC10" s="99" t="s">
        <v>110</v>
      </c>
      <c r="BD10" s="99" t="s">
        <v>127</v>
      </c>
      <c r="BE10" s="99" t="s">
        <v>128</v>
      </c>
      <c r="BF10" s="99" t="s">
        <v>110</v>
      </c>
      <c r="BG10" s="99" t="s">
        <v>127</v>
      </c>
      <c r="BH10" s="99" t="s">
        <v>128</v>
      </c>
      <c r="BI10" s="328"/>
      <c r="BJ10" s="99" t="s">
        <v>110</v>
      </c>
      <c r="BK10" s="99" t="s">
        <v>127</v>
      </c>
      <c r="BL10" s="99" t="s">
        <v>128</v>
      </c>
      <c r="BM10" s="99" t="s">
        <v>110</v>
      </c>
      <c r="BN10" s="99" t="s">
        <v>127</v>
      </c>
      <c r="BO10" s="99" t="s">
        <v>128</v>
      </c>
    </row>
    <row r="11" spans="1:69" ht="27" customHeight="1" x14ac:dyDescent="0.25">
      <c r="A11" s="99" t="s">
        <v>7</v>
      </c>
      <c r="B11" s="99" t="s">
        <v>8</v>
      </c>
      <c r="C11" s="99" t="s">
        <v>60</v>
      </c>
      <c r="D11" s="99" t="s">
        <v>676</v>
      </c>
      <c r="E11" s="99" t="s">
        <v>677</v>
      </c>
      <c r="F11" s="99" t="s">
        <v>603</v>
      </c>
      <c r="G11" s="99" t="s">
        <v>604</v>
      </c>
      <c r="H11" s="99">
        <v>6</v>
      </c>
      <c r="I11" s="99">
        <v>7</v>
      </c>
      <c r="J11" s="99" t="s">
        <v>605</v>
      </c>
      <c r="K11" s="99">
        <v>9</v>
      </c>
      <c r="L11" s="99">
        <v>10</v>
      </c>
      <c r="M11" s="99" t="s">
        <v>606</v>
      </c>
      <c r="N11" s="99" t="s">
        <v>607</v>
      </c>
      <c r="O11" s="99">
        <v>13</v>
      </c>
      <c r="P11" s="99">
        <v>14</v>
      </c>
      <c r="Q11" s="99" t="s">
        <v>608</v>
      </c>
      <c r="R11" s="99">
        <v>16</v>
      </c>
      <c r="S11" s="99">
        <v>17</v>
      </c>
      <c r="T11" s="99" t="s">
        <v>606</v>
      </c>
      <c r="U11" s="99" t="s">
        <v>607</v>
      </c>
      <c r="V11" s="99">
        <v>13</v>
      </c>
      <c r="W11" s="99">
        <v>14</v>
      </c>
      <c r="X11" s="99" t="s">
        <v>608</v>
      </c>
      <c r="Y11" s="99">
        <v>16</v>
      </c>
      <c r="Z11" s="99">
        <v>17</v>
      </c>
      <c r="AA11" s="99" t="s">
        <v>678</v>
      </c>
      <c r="AB11" s="99" t="s">
        <v>679</v>
      </c>
      <c r="AC11" s="99" t="s">
        <v>680</v>
      </c>
      <c r="AD11" s="99" t="s">
        <v>681</v>
      </c>
      <c r="AE11" s="99" t="s">
        <v>682</v>
      </c>
      <c r="AF11" s="99">
        <v>8</v>
      </c>
      <c r="AG11" s="99">
        <v>9</v>
      </c>
      <c r="AH11" s="99" t="s">
        <v>683</v>
      </c>
      <c r="AI11" s="99">
        <v>11</v>
      </c>
      <c r="AJ11" s="99">
        <v>12</v>
      </c>
      <c r="AK11" s="99" t="s">
        <v>684</v>
      </c>
      <c r="AL11" s="99" t="s">
        <v>685</v>
      </c>
      <c r="AM11" s="99">
        <v>15</v>
      </c>
      <c r="AN11" s="99">
        <v>16</v>
      </c>
      <c r="AO11" s="99" t="s">
        <v>686</v>
      </c>
      <c r="AP11" s="99">
        <v>18</v>
      </c>
      <c r="AQ11" s="99">
        <v>19</v>
      </c>
      <c r="AR11" s="99" t="s">
        <v>684</v>
      </c>
      <c r="AS11" s="99" t="s">
        <v>685</v>
      </c>
      <c r="AT11" s="99">
        <v>15</v>
      </c>
      <c r="AU11" s="99">
        <v>16</v>
      </c>
      <c r="AV11" s="99" t="s">
        <v>686</v>
      </c>
      <c r="AW11" s="99">
        <v>18</v>
      </c>
      <c r="AX11" s="99">
        <v>19</v>
      </c>
      <c r="AY11" s="99" t="s">
        <v>687</v>
      </c>
      <c r="AZ11" s="99" t="s">
        <v>688</v>
      </c>
      <c r="BA11" s="99" t="s">
        <v>689</v>
      </c>
      <c r="BB11" s="99" t="s">
        <v>690</v>
      </c>
      <c r="BC11" s="99" t="s">
        <v>691</v>
      </c>
      <c r="BD11" s="99" t="s">
        <v>692</v>
      </c>
      <c r="BE11" s="99" t="s">
        <v>693</v>
      </c>
      <c r="BF11" s="99" t="s">
        <v>694</v>
      </c>
      <c r="BG11" s="99" t="s">
        <v>695</v>
      </c>
      <c r="BH11" s="99" t="s">
        <v>696</v>
      </c>
      <c r="BI11" s="99" t="s">
        <v>697</v>
      </c>
      <c r="BJ11" s="99" t="s">
        <v>698</v>
      </c>
      <c r="BK11" s="99" t="s">
        <v>699</v>
      </c>
      <c r="BL11" s="99" t="s">
        <v>700</v>
      </c>
      <c r="BM11" s="99" t="s">
        <v>701</v>
      </c>
      <c r="BN11" s="99" t="s">
        <v>702</v>
      </c>
      <c r="BO11" s="99" t="s">
        <v>703</v>
      </c>
    </row>
    <row r="12" spans="1:69" x14ac:dyDescent="0.25">
      <c r="A12" s="304"/>
      <c r="B12" s="305" t="s">
        <v>98</v>
      </c>
      <c r="C12" s="306">
        <f t="shared" ref="C12:AX12" si="0">C13+C41</f>
        <v>1274696</v>
      </c>
      <c r="D12" s="306">
        <f t="shared" si="0"/>
        <v>706749</v>
      </c>
      <c r="E12" s="306">
        <f t="shared" si="0"/>
        <v>567947</v>
      </c>
      <c r="F12" s="306">
        <f t="shared" si="0"/>
        <v>283570</v>
      </c>
      <c r="G12" s="306">
        <f t="shared" si="0"/>
        <v>141429</v>
      </c>
      <c r="H12" s="306">
        <f t="shared" si="0"/>
        <v>141429</v>
      </c>
      <c r="I12" s="306">
        <f t="shared" si="0"/>
        <v>0</v>
      </c>
      <c r="J12" s="306">
        <f t="shared" si="0"/>
        <v>142141</v>
      </c>
      <c r="K12" s="306">
        <f t="shared" si="0"/>
        <v>142141</v>
      </c>
      <c r="L12" s="306">
        <f t="shared" si="0"/>
        <v>0</v>
      </c>
      <c r="M12" s="306">
        <f t="shared" si="0"/>
        <v>169924</v>
      </c>
      <c r="N12" s="306">
        <f t="shared" si="0"/>
        <v>135724</v>
      </c>
      <c r="O12" s="306">
        <f t="shared" si="0"/>
        <v>135724</v>
      </c>
      <c r="P12" s="306">
        <f t="shared" si="0"/>
        <v>0</v>
      </c>
      <c r="Q12" s="306">
        <f t="shared" si="0"/>
        <v>34200</v>
      </c>
      <c r="R12" s="306">
        <f t="shared" si="0"/>
        <v>34200</v>
      </c>
      <c r="S12" s="306">
        <f t="shared" si="0"/>
        <v>0</v>
      </c>
      <c r="T12" s="306">
        <f t="shared" si="0"/>
        <v>821202</v>
      </c>
      <c r="U12" s="306">
        <f t="shared" si="0"/>
        <v>429596</v>
      </c>
      <c r="V12" s="306">
        <f t="shared" si="0"/>
        <v>429596</v>
      </c>
      <c r="W12" s="306">
        <f t="shared" si="0"/>
        <v>0</v>
      </c>
      <c r="X12" s="306">
        <f t="shared" si="0"/>
        <v>391606</v>
      </c>
      <c r="Y12" s="306">
        <f t="shared" si="0"/>
        <v>391606</v>
      </c>
      <c r="Z12" s="306">
        <f t="shared" si="0"/>
        <v>0</v>
      </c>
      <c r="AA12" s="306">
        <f t="shared" si="0"/>
        <v>1283926.966634</v>
      </c>
      <c r="AB12" s="306">
        <f t="shared" si="0"/>
        <v>856611.68549300008</v>
      </c>
      <c r="AC12" s="306">
        <f t="shared" si="0"/>
        <v>427315.28114099993</v>
      </c>
      <c r="AD12" s="306">
        <f t="shared" si="0"/>
        <v>330679.91708099999</v>
      </c>
      <c r="AE12" s="306">
        <f t="shared" si="0"/>
        <v>198420.756983</v>
      </c>
      <c r="AF12" s="306">
        <f t="shared" si="0"/>
        <v>198420.756983</v>
      </c>
      <c r="AG12" s="306">
        <f t="shared" si="0"/>
        <v>0</v>
      </c>
      <c r="AH12" s="306">
        <f t="shared" si="0"/>
        <v>132259.16009799999</v>
      </c>
      <c r="AI12" s="306">
        <f t="shared" si="0"/>
        <v>132259.16009799999</v>
      </c>
      <c r="AJ12" s="306">
        <f t="shared" si="0"/>
        <v>0</v>
      </c>
      <c r="AK12" s="306">
        <f t="shared" si="0"/>
        <v>242999.21761699999</v>
      </c>
      <c r="AL12" s="306">
        <f t="shared" si="0"/>
        <v>183029.41902</v>
      </c>
      <c r="AM12" s="306">
        <f t="shared" si="0"/>
        <v>183029.41902</v>
      </c>
      <c r="AN12" s="306">
        <f t="shared" si="0"/>
        <v>0</v>
      </c>
      <c r="AO12" s="306">
        <f t="shared" si="0"/>
        <v>59969.798596999986</v>
      </c>
      <c r="AP12" s="306">
        <f t="shared" si="0"/>
        <v>59969.798596999986</v>
      </c>
      <c r="AQ12" s="306">
        <f t="shared" si="0"/>
        <v>0</v>
      </c>
      <c r="AR12" s="306">
        <f t="shared" si="0"/>
        <v>710247.83193599992</v>
      </c>
      <c r="AS12" s="306">
        <f t="shared" si="0"/>
        <v>475161.50949000008</v>
      </c>
      <c r="AT12" s="306">
        <f t="shared" si="0"/>
        <v>475161.50949000008</v>
      </c>
      <c r="AU12" s="306">
        <f t="shared" si="0"/>
        <v>0</v>
      </c>
      <c r="AV12" s="306">
        <f t="shared" si="0"/>
        <v>235086.32244599998</v>
      </c>
      <c r="AW12" s="306">
        <f t="shared" si="0"/>
        <v>235086.32244599998</v>
      </c>
      <c r="AX12" s="306">
        <f t="shared" si="0"/>
        <v>0</v>
      </c>
      <c r="AY12" s="307">
        <f>AA12/C12</f>
        <v>1.0072417004791729</v>
      </c>
      <c r="AZ12" s="307">
        <f t="shared" ref="AZ12:BN27" si="1">AB12/D12</f>
        <v>1.2120451327034067</v>
      </c>
      <c r="BA12" s="307">
        <f t="shared" si="1"/>
        <v>0.7523858408284575</v>
      </c>
      <c r="BB12" s="307">
        <f t="shared" si="1"/>
        <v>1.1661315268928307</v>
      </c>
      <c r="BC12" s="307">
        <f t="shared" si="1"/>
        <v>1.402970797948087</v>
      </c>
      <c r="BD12" s="307">
        <f t="shared" si="1"/>
        <v>1.402970797948087</v>
      </c>
      <c r="BE12" s="307"/>
      <c r="BF12" s="307">
        <f t="shared" si="1"/>
        <v>0.93047860995771803</v>
      </c>
      <c r="BG12" s="307">
        <f t="shared" si="1"/>
        <v>0.93047860995771803</v>
      </c>
      <c r="BH12" s="307"/>
      <c r="BI12" s="307">
        <f t="shared" si="1"/>
        <v>1.4300464773486969</v>
      </c>
      <c r="BJ12" s="307">
        <f t="shared" si="1"/>
        <v>1.3485412971913588</v>
      </c>
      <c r="BK12" s="307">
        <f t="shared" si="1"/>
        <v>1.3485412971913588</v>
      </c>
      <c r="BL12" s="307"/>
      <c r="BM12" s="307">
        <f t="shared" si="1"/>
        <v>1.753502882953216</v>
      </c>
      <c r="BN12" s="307">
        <f t="shared" si="1"/>
        <v>1.753502882953216</v>
      </c>
      <c r="BO12" s="307"/>
    </row>
    <row r="13" spans="1:69" x14ac:dyDescent="0.25">
      <c r="A13" s="133" t="s">
        <v>39</v>
      </c>
      <c r="B13" s="126" t="s">
        <v>250</v>
      </c>
      <c r="C13" s="306">
        <f t="shared" ref="C13:AX13" si="2">SUM(C14:C40)</f>
        <v>248701</v>
      </c>
      <c r="D13" s="306">
        <f t="shared" si="2"/>
        <v>99396</v>
      </c>
      <c r="E13" s="306">
        <f t="shared" si="2"/>
        <v>149305</v>
      </c>
      <c r="F13" s="306">
        <f t="shared" si="2"/>
        <v>31709</v>
      </c>
      <c r="G13" s="306">
        <f t="shared" si="2"/>
        <v>19993</v>
      </c>
      <c r="H13" s="306">
        <f t="shared" si="2"/>
        <v>19993</v>
      </c>
      <c r="I13" s="306">
        <f t="shared" si="2"/>
        <v>0</v>
      </c>
      <c r="J13" s="306">
        <f t="shared" si="2"/>
        <v>11716</v>
      </c>
      <c r="K13" s="306">
        <f t="shared" si="2"/>
        <v>11716</v>
      </c>
      <c r="L13" s="306">
        <f t="shared" si="2"/>
        <v>0</v>
      </c>
      <c r="M13" s="306">
        <f t="shared" si="2"/>
        <v>36362</v>
      </c>
      <c r="N13" s="306">
        <f t="shared" si="2"/>
        <v>31594</v>
      </c>
      <c r="O13" s="306">
        <f t="shared" si="2"/>
        <v>31594</v>
      </c>
      <c r="P13" s="306">
        <f t="shared" si="2"/>
        <v>0</v>
      </c>
      <c r="Q13" s="306">
        <f t="shared" si="2"/>
        <v>4768</v>
      </c>
      <c r="R13" s="306">
        <f t="shared" si="2"/>
        <v>4768</v>
      </c>
      <c r="S13" s="306">
        <f t="shared" si="2"/>
        <v>0</v>
      </c>
      <c r="T13" s="306">
        <f t="shared" si="2"/>
        <v>180630</v>
      </c>
      <c r="U13" s="306">
        <f t="shared" si="2"/>
        <v>47809</v>
      </c>
      <c r="V13" s="306">
        <f t="shared" si="2"/>
        <v>47809</v>
      </c>
      <c r="W13" s="306">
        <f t="shared" si="2"/>
        <v>0</v>
      </c>
      <c r="X13" s="306">
        <f t="shared" si="2"/>
        <v>132821</v>
      </c>
      <c r="Y13" s="306">
        <f t="shared" si="2"/>
        <v>132821</v>
      </c>
      <c r="Z13" s="306">
        <f t="shared" si="2"/>
        <v>0</v>
      </c>
      <c r="AA13" s="306">
        <f t="shared" si="2"/>
        <v>158511.57658899997</v>
      </c>
      <c r="AB13" s="306">
        <f t="shared" si="2"/>
        <v>37864.328269999998</v>
      </c>
      <c r="AC13" s="306">
        <f t="shared" si="2"/>
        <v>120647.24831899996</v>
      </c>
      <c r="AD13" s="306">
        <f t="shared" si="2"/>
        <v>32551.847166999996</v>
      </c>
      <c r="AE13" s="306">
        <f t="shared" si="2"/>
        <v>22337.682628999999</v>
      </c>
      <c r="AF13" s="306">
        <f t="shared" si="2"/>
        <v>22337.682628999999</v>
      </c>
      <c r="AG13" s="306">
        <f t="shared" si="2"/>
        <v>0</v>
      </c>
      <c r="AH13" s="306">
        <f t="shared" si="2"/>
        <v>10214.164538000001</v>
      </c>
      <c r="AI13" s="306">
        <f t="shared" si="2"/>
        <v>10214.164538000001</v>
      </c>
      <c r="AJ13" s="306">
        <f t="shared" si="2"/>
        <v>0</v>
      </c>
      <c r="AK13" s="306">
        <f t="shared" si="2"/>
        <v>9754.4888759999994</v>
      </c>
      <c r="AL13" s="306">
        <f t="shared" si="2"/>
        <v>0</v>
      </c>
      <c r="AM13" s="306">
        <f t="shared" si="2"/>
        <v>0</v>
      </c>
      <c r="AN13" s="306">
        <f t="shared" si="2"/>
        <v>0</v>
      </c>
      <c r="AO13" s="306">
        <f t="shared" si="2"/>
        <v>9754.4888759999994</v>
      </c>
      <c r="AP13" s="306">
        <f t="shared" si="2"/>
        <v>9754.4888759999994</v>
      </c>
      <c r="AQ13" s="306">
        <f t="shared" si="2"/>
        <v>0</v>
      </c>
      <c r="AR13" s="306">
        <f t="shared" si="2"/>
        <v>116205.24054599997</v>
      </c>
      <c r="AS13" s="306">
        <f t="shared" si="2"/>
        <v>15526.645640999999</v>
      </c>
      <c r="AT13" s="306">
        <f t="shared" si="2"/>
        <v>15526.645640999999</v>
      </c>
      <c r="AU13" s="306">
        <f t="shared" si="2"/>
        <v>0</v>
      </c>
      <c r="AV13" s="306">
        <f t="shared" si="2"/>
        <v>100678.59490499998</v>
      </c>
      <c r="AW13" s="306">
        <f t="shared" si="2"/>
        <v>100678.59490499998</v>
      </c>
      <c r="AX13" s="306">
        <f t="shared" si="2"/>
        <v>0</v>
      </c>
      <c r="AY13" s="307">
        <f>AA13/C13</f>
        <v>0.63735801862075336</v>
      </c>
      <c r="AZ13" s="307">
        <f t="shared" si="1"/>
        <v>0.38094418558090865</v>
      </c>
      <c r="BA13" s="307">
        <f t="shared" si="1"/>
        <v>0.80805899547235505</v>
      </c>
      <c r="BB13" s="307">
        <f t="shared" si="1"/>
        <v>1.0265806921378786</v>
      </c>
      <c r="BC13" s="307">
        <f t="shared" si="1"/>
        <v>1.1172751777622167</v>
      </c>
      <c r="BD13" s="307">
        <f t="shared" si="1"/>
        <v>1.1172751777622167</v>
      </c>
      <c r="BE13" s="307"/>
      <c r="BF13" s="307">
        <f t="shared" si="1"/>
        <v>0.8718132927620349</v>
      </c>
      <c r="BG13" s="307">
        <f t="shared" si="1"/>
        <v>0.8718132927620349</v>
      </c>
      <c r="BH13" s="307"/>
      <c r="BI13" s="307">
        <f t="shared" si="1"/>
        <v>0.26826051581321159</v>
      </c>
      <c r="BJ13" s="307">
        <f t="shared" si="1"/>
        <v>0</v>
      </c>
      <c r="BK13" s="307">
        <f t="shared" si="1"/>
        <v>0</v>
      </c>
      <c r="BL13" s="307"/>
      <c r="BM13" s="307">
        <f t="shared" si="1"/>
        <v>2.0458240092281876</v>
      </c>
      <c r="BN13" s="307">
        <f t="shared" si="1"/>
        <v>2.0458240092281876</v>
      </c>
      <c r="BO13" s="307"/>
    </row>
    <row r="14" spans="1:69" ht="25.5" x14ac:dyDescent="0.25">
      <c r="A14" s="123">
        <v>1</v>
      </c>
      <c r="B14" s="124" t="s">
        <v>609</v>
      </c>
      <c r="C14" s="100">
        <f t="shared" ref="C14:C40" si="3">D14+E14</f>
        <v>27972</v>
      </c>
      <c r="D14" s="101">
        <f>G14+U14+N14</f>
        <v>0</v>
      </c>
      <c r="E14" s="101">
        <f>J14+X14+Q14</f>
        <v>27972</v>
      </c>
      <c r="F14" s="101">
        <f t="shared" ref="F14:F40" si="4">G14+J14</f>
        <v>343</v>
      </c>
      <c r="G14" s="101">
        <f t="shared" ref="G14:G40" si="5">H14+I14</f>
        <v>0</v>
      </c>
      <c r="H14" s="101"/>
      <c r="I14" s="101"/>
      <c r="J14" s="101">
        <f t="shared" ref="J14:J40" si="6">K14+L14</f>
        <v>343</v>
      </c>
      <c r="K14" s="101">
        <v>343</v>
      </c>
      <c r="L14" s="101"/>
      <c r="M14" s="101">
        <f t="shared" ref="M14:M40" si="7">N14+Q14</f>
        <v>724</v>
      </c>
      <c r="N14" s="101">
        <f t="shared" ref="N14:N40" si="8">O14+P14</f>
        <v>0</v>
      </c>
      <c r="O14" s="101">
        <f>1940-1940</f>
        <v>0</v>
      </c>
      <c r="P14" s="101"/>
      <c r="Q14" s="101">
        <f t="shared" ref="Q14:Q40" si="9">R14+S14</f>
        <v>724</v>
      </c>
      <c r="R14" s="101">
        <v>724</v>
      </c>
      <c r="S14" s="101"/>
      <c r="T14" s="101">
        <f t="shared" ref="T14:T40" si="10">U14+X14</f>
        <v>26905</v>
      </c>
      <c r="U14" s="101">
        <f t="shared" ref="U14:U40" si="11">V14+W14</f>
        <v>0</v>
      </c>
      <c r="V14" s="101">
        <f>8572-8572</f>
        <v>0</v>
      </c>
      <c r="W14" s="101"/>
      <c r="X14" s="101">
        <f t="shared" ref="X14:X40" si="12">Y14+Z14</f>
        <v>26905</v>
      </c>
      <c r="Y14" s="101">
        <f>16848+10057</f>
        <v>26905</v>
      </c>
      <c r="Z14" s="101"/>
      <c r="AA14" s="308">
        <f t="shared" ref="AA14:AA40" si="13">AB14+AC14</f>
        <v>11729.145777</v>
      </c>
      <c r="AB14" s="149">
        <f>AE14+AS14+AL14</f>
        <v>0</v>
      </c>
      <c r="AC14" s="149">
        <f>AH14+AV14+AO14</f>
        <v>11729.145777</v>
      </c>
      <c r="AD14" s="149">
        <f t="shared" ref="AD14:AD40" si="14">AE14+AH14</f>
        <v>310.42495200000002</v>
      </c>
      <c r="AE14" s="101">
        <f t="shared" ref="AE14:AE40" si="15">AF14+AG14</f>
        <v>0</v>
      </c>
      <c r="AF14" s="101"/>
      <c r="AG14" s="101"/>
      <c r="AH14" s="101">
        <f t="shared" ref="AH14:AH40" si="16">AI14+AJ14</f>
        <v>310.42495200000002</v>
      </c>
      <c r="AI14" s="101">
        <v>310.42495200000002</v>
      </c>
      <c r="AJ14" s="101"/>
      <c r="AK14" s="101">
        <f t="shared" ref="AK14:AK40" si="17">AL14+AO14</f>
        <v>1279.5691750000001</v>
      </c>
      <c r="AL14" s="101">
        <f t="shared" ref="AL14:AL40" si="18">AM14+AN14</f>
        <v>0</v>
      </c>
      <c r="AM14" s="309"/>
      <c r="AN14" s="101"/>
      <c r="AO14" s="101">
        <f t="shared" ref="AO14:AO40" si="19">AP14+AQ14</f>
        <v>1279.5691750000001</v>
      </c>
      <c r="AP14" s="101">
        <f>2797.029175-1517.46</f>
        <v>1279.5691750000001</v>
      </c>
      <c r="AQ14" s="101"/>
      <c r="AR14" s="101">
        <f t="shared" ref="AR14:AR40" si="20">AS14+AV14</f>
        <v>10139.15165</v>
      </c>
      <c r="AS14" s="101">
        <f t="shared" ref="AS14:AS40" si="21">AT14+AU14</f>
        <v>0</v>
      </c>
      <c r="AT14" s="309"/>
      <c r="AU14" s="101"/>
      <c r="AV14" s="101">
        <f t="shared" ref="AV14:AV40" si="22">AW14+AX14</f>
        <v>10139.15165</v>
      </c>
      <c r="AW14" s="101">
        <v>10139.15165</v>
      </c>
      <c r="AX14" s="101"/>
      <c r="AY14" s="310">
        <f t="shared" ref="AY14:BN29" si="23">AA14/C14</f>
        <v>0.41931738084513082</v>
      </c>
      <c r="AZ14" s="310"/>
      <c r="BA14" s="310">
        <f t="shared" si="1"/>
        <v>0.41931738084513082</v>
      </c>
      <c r="BB14" s="310">
        <f t="shared" si="1"/>
        <v>0.90502901457725948</v>
      </c>
      <c r="BC14" s="310"/>
      <c r="BD14" s="310"/>
      <c r="BE14" s="310"/>
      <c r="BF14" s="310">
        <f t="shared" si="1"/>
        <v>0.90502901457725948</v>
      </c>
      <c r="BG14" s="310">
        <f t="shared" si="1"/>
        <v>0.90502901457725948</v>
      </c>
      <c r="BH14" s="310"/>
      <c r="BI14" s="310">
        <f t="shared" si="1"/>
        <v>1.7673607389502763</v>
      </c>
      <c r="BJ14" s="310"/>
      <c r="BK14" s="310"/>
      <c r="BL14" s="310"/>
      <c r="BM14" s="310">
        <f t="shared" si="1"/>
        <v>1.7673607389502763</v>
      </c>
      <c r="BN14" s="310">
        <f t="shared" si="1"/>
        <v>1.7673607389502763</v>
      </c>
      <c r="BO14" s="310"/>
      <c r="BQ14" s="303"/>
    </row>
    <row r="15" spans="1:69" ht="25.5" x14ac:dyDescent="0.25">
      <c r="A15" s="123">
        <v>2</v>
      </c>
      <c r="B15" s="124" t="s">
        <v>610</v>
      </c>
      <c r="C15" s="100">
        <f t="shared" si="3"/>
        <v>8487</v>
      </c>
      <c r="D15" s="101">
        <f t="shared" ref="D15:D40" si="24">G15+U15+N15</f>
        <v>3283</v>
      </c>
      <c r="E15" s="101">
        <f t="shared" ref="E15:E40" si="25">J15+X15+Q15</f>
        <v>5204</v>
      </c>
      <c r="F15" s="101">
        <f t="shared" si="4"/>
        <v>7344</v>
      </c>
      <c r="G15" s="101">
        <f t="shared" si="5"/>
        <v>3283</v>
      </c>
      <c r="H15" s="101">
        <v>3283</v>
      </c>
      <c r="I15" s="101"/>
      <c r="J15" s="101">
        <f t="shared" si="6"/>
        <v>4061</v>
      </c>
      <c r="K15" s="101">
        <v>4061</v>
      </c>
      <c r="L15" s="101"/>
      <c r="M15" s="101">
        <f t="shared" si="7"/>
        <v>0</v>
      </c>
      <c r="N15" s="101">
        <f t="shared" si="8"/>
        <v>0</v>
      </c>
      <c r="O15" s="101">
        <v>0</v>
      </c>
      <c r="P15" s="101"/>
      <c r="Q15" s="101">
        <f t="shared" si="9"/>
        <v>0</v>
      </c>
      <c r="R15" s="101"/>
      <c r="S15" s="101"/>
      <c r="T15" s="101">
        <f t="shared" si="10"/>
        <v>1143</v>
      </c>
      <c r="U15" s="101">
        <f t="shared" si="11"/>
        <v>0</v>
      </c>
      <c r="V15" s="101">
        <v>0</v>
      </c>
      <c r="W15" s="101"/>
      <c r="X15" s="101">
        <f t="shared" si="12"/>
        <v>1143</v>
      </c>
      <c r="Y15" s="101">
        <v>1143</v>
      </c>
      <c r="Z15" s="101"/>
      <c r="AA15" s="308">
        <f t="shared" si="13"/>
        <v>1796.335521</v>
      </c>
      <c r="AB15" s="149">
        <f t="shared" ref="AB15:AB40" si="26">AE15+AS15+AL15</f>
        <v>0</v>
      </c>
      <c r="AC15" s="149">
        <f t="shared" ref="AC15:AC40" si="27">AH15+AV15+AO15</f>
        <v>1796.335521</v>
      </c>
      <c r="AD15" s="149">
        <f t="shared" si="14"/>
        <v>1504.3405929999999</v>
      </c>
      <c r="AE15" s="101">
        <f t="shared" si="15"/>
        <v>0</v>
      </c>
      <c r="AF15" s="101"/>
      <c r="AG15" s="101"/>
      <c r="AH15" s="101">
        <f t="shared" si="16"/>
        <v>1504.3405929999999</v>
      </c>
      <c r="AI15" s="101">
        <v>1504.3405929999999</v>
      </c>
      <c r="AJ15" s="101"/>
      <c r="AK15" s="101">
        <f t="shared" si="17"/>
        <v>0</v>
      </c>
      <c r="AL15" s="101">
        <f t="shared" si="18"/>
        <v>0</v>
      </c>
      <c r="AM15" s="309"/>
      <c r="AN15" s="101"/>
      <c r="AO15" s="101">
        <f t="shared" si="19"/>
        <v>0</v>
      </c>
      <c r="AP15" s="101"/>
      <c r="AQ15" s="101"/>
      <c r="AR15" s="101">
        <f t="shared" si="20"/>
        <v>291.99492800000002</v>
      </c>
      <c r="AS15" s="101">
        <f t="shared" si="21"/>
        <v>0</v>
      </c>
      <c r="AT15" s="309"/>
      <c r="AU15" s="101"/>
      <c r="AV15" s="101">
        <f t="shared" si="22"/>
        <v>291.99492800000002</v>
      </c>
      <c r="AW15" s="101">
        <v>291.99492800000002</v>
      </c>
      <c r="AX15" s="101"/>
      <c r="AY15" s="310">
        <f t="shared" si="23"/>
        <v>0.21165730187345352</v>
      </c>
      <c r="AZ15" s="310">
        <f t="shared" si="1"/>
        <v>0</v>
      </c>
      <c r="BA15" s="310">
        <f t="shared" si="1"/>
        <v>0.34518361279784782</v>
      </c>
      <c r="BB15" s="310">
        <f t="shared" si="1"/>
        <v>0.20483940536492373</v>
      </c>
      <c r="BC15" s="310">
        <f t="shared" si="1"/>
        <v>0</v>
      </c>
      <c r="BD15" s="310">
        <f t="shared" si="1"/>
        <v>0</v>
      </c>
      <c r="BE15" s="310"/>
      <c r="BF15" s="310">
        <f t="shared" si="1"/>
        <v>0.37043599926126569</v>
      </c>
      <c r="BG15" s="310">
        <f t="shared" si="1"/>
        <v>0.37043599926126569</v>
      </c>
      <c r="BH15" s="310"/>
      <c r="BI15" s="310"/>
      <c r="BJ15" s="310"/>
      <c r="BK15" s="310"/>
      <c r="BL15" s="310"/>
      <c r="BM15" s="310"/>
      <c r="BN15" s="310"/>
      <c r="BO15" s="310"/>
      <c r="BQ15" s="303"/>
    </row>
    <row r="16" spans="1:69" x14ac:dyDescent="0.25">
      <c r="A16" s="123">
        <v>3</v>
      </c>
      <c r="B16" s="124" t="s">
        <v>704</v>
      </c>
      <c r="C16" s="100">
        <f t="shared" si="3"/>
        <v>22678</v>
      </c>
      <c r="D16" s="101">
        <f t="shared" si="24"/>
        <v>2506</v>
      </c>
      <c r="E16" s="101">
        <f t="shared" si="25"/>
        <v>20172</v>
      </c>
      <c r="F16" s="101">
        <f t="shared" si="4"/>
        <v>0</v>
      </c>
      <c r="G16" s="101">
        <f t="shared" si="5"/>
        <v>0</v>
      </c>
      <c r="H16" s="101"/>
      <c r="I16" s="101"/>
      <c r="J16" s="101">
        <f t="shared" si="6"/>
        <v>0</v>
      </c>
      <c r="K16" s="101"/>
      <c r="L16" s="101"/>
      <c r="M16" s="101">
        <f t="shared" si="7"/>
        <v>0</v>
      </c>
      <c r="N16" s="101">
        <f t="shared" si="8"/>
        <v>0</v>
      </c>
      <c r="O16" s="101"/>
      <c r="P16" s="101"/>
      <c r="Q16" s="101">
        <f t="shared" si="9"/>
        <v>0</v>
      </c>
      <c r="R16" s="101"/>
      <c r="S16" s="101"/>
      <c r="T16" s="101">
        <f t="shared" si="10"/>
        <v>22678</v>
      </c>
      <c r="U16" s="101">
        <f t="shared" si="11"/>
        <v>2506</v>
      </c>
      <c r="V16" s="101">
        <v>2506</v>
      </c>
      <c r="W16" s="101"/>
      <c r="X16" s="101">
        <f t="shared" si="12"/>
        <v>20172</v>
      </c>
      <c r="Y16" s="101">
        <f>19601+571</f>
        <v>20172</v>
      </c>
      <c r="Z16" s="101"/>
      <c r="AA16" s="308">
        <f t="shared" si="13"/>
        <v>16894.799274000001</v>
      </c>
      <c r="AB16" s="149">
        <f t="shared" si="26"/>
        <v>4291</v>
      </c>
      <c r="AC16" s="149">
        <f t="shared" si="27"/>
        <v>12603.799274000001</v>
      </c>
      <c r="AD16" s="149">
        <f t="shared" si="14"/>
        <v>0</v>
      </c>
      <c r="AE16" s="101">
        <f t="shared" si="15"/>
        <v>0</v>
      </c>
      <c r="AF16" s="101"/>
      <c r="AG16" s="101"/>
      <c r="AH16" s="101">
        <f t="shared" si="16"/>
        <v>0</v>
      </c>
      <c r="AI16" s="101"/>
      <c r="AJ16" s="101"/>
      <c r="AK16" s="101">
        <f t="shared" si="17"/>
        <v>0</v>
      </c>
      <c r="AL16" s="101">
        <f t="shared" si="18"/>
        <v>0</v>
      </c>
      <c r="AM16" s="309"/>
      <c r="AN16" s="101"/>
      <c r="AO16" s="101">
        <f t="shared" si="19"/>
        <v>0</v>
      </c>
      <c r="AP16" s="101"/>
      <c r="AQ16" s="101"/>
      <c r="AR16" s="101">
        <f t="shared" si="20"/>
        <v>16894.799274000001</v>
      </c>
      <c r="AS16" s="101">
        <f t="shared" si="21"/>
        <v>4291</v>
      </c>
      <c r="AT16" s="309">
        <v>4291</v>
      </c>
      <c r="AU16" s="101"/>
      <c r="AV16" s="101">
        <f t="shared" si="22"/>
        <v>12603.799274000001</v>
      </c>
      <c r="AW16" s="101">
        <v>12603.799274000001</v>
      </c>
      <c r="AX16" s="101"/>
      <c r="AY16" s="310">
        <f t="shared" si="23"/>
        <v>0.74498629835082464</v>
      </c>
      <c r="AZ16" s="310">
        <f t="shared" si="1"/>
        <v>1.7122905027932962</v>
      </c>
      <c r="BA16" s="310">
        <f t="shared" si="1"/>
        <v>0.62481654144358523</v>
      </c>
      <c r="BB16" s="310"/>
      <c r="BC16" s="310"/>
      <c r="BD16" s="310"/>
      <c r="BE16" s="310"/>
      <c r="BF16" s="310"/>
      <c r="BG16" s="310"/>
      <c r="BH16" s="310"/>
      <c r="BI16" s="310"/>
      <c r="BJ16" s="310"/>
      <c r="BK16" s="310"/>
      <c r="BL16" s="310"/>
      <c r="BM16" s="310"/>
      <c r="BN16" s="310"/>
      <c r="BO16" s="310"/>
      <c r="BQ16" s="303"/>
    </row>
    <row r="17" spans="1:69" x14ac:dyDescent="0.25">
      <c r="A17" s="123">
        <v>4</v>
      </c>
      <c r="B17" s="124" t="s">
        <v>611</v>
      </c>
      <c r="C17" s="100">
        <f t="shared" si="3"/>
        <v>408</v>
      </c>
      <c r="D17" s="101">
        <f t="shared" si="24"/>
        <v>0</v>
      </c>
      <c r="E17" s="101">
        <f t="shared" si="25"/>
        <v>408</v>
      </c>
      <c r="F17" s="101">
        <f t="shared" si="4"/>
        <v>0</v>
      </c>
      <c r="G17" s="101">
        <f t="shared" si="5"/>
        <v>0</v>
      </c>
      <c r="H17" s="101"/>
      <c r="I17" s="101"/>
      <c r="J17" s="101">
        <f t="shared" si="6"/>
        <v>0</v>
      </c>
      <c r="K17" s="101"/>
      <c r="L17" s="101"/>
      <c r="M17" s="101">
        <f t="shared" si="7"/>
        <v>0</v>
      </c>
      <c r="N17" s="101">
        <f t="shared" si="8"/>
        <v>0</v>
      </c>
      <c r="O17" s="101"/>
      <c r="P17" s="101"/>
      <c r="Q17" s="101">
        <f t="shared" si="9"/>
        <v>0</v>
      </c>
      <c r="R17" s="101"/>
      <c r="S17" s="101"/>
      <c r="T17" s="101">
        <f t="shared" si="10"/>
        <v>408</v>
      </c>
      <c r="U17" s="101">
        <f t="shared" si="11"/>
        <v>0</v>
      </c>
      <c r="V17" s="101">
        <v>0</v>
      </c>
      <c r="W17" s="101"/>
      <c r="X17" s="101">
        <f t="shared" si="12"/>
        <v>408</v>
      </c>
      <c r="Y17" s="101">
        <v>408</v>
      </c>
      <c r="Z17" s="101"/>
      <c r="AA17" s="308">
        <f t="shared" si="13"/>
        <v>458.27699999999999</v>
      </c>
      <c r="AB17" s="149">
        <f t="shared" si="26"/>
        <v>0</v>
      </c>
      <c r="AC17" s="149">
        <f t="shared" si="27"/>
        <v>458.27699999999999</v>
      </c>
      <c r="AD17" s="149">
        <f t="shared" si="14"/>
        <v>0</v>
      </c>
      <c r="AE17" s="101">
        <f t="shared" si="15"/>
        <v>0</v>
      </c>
      <c r="AF17" s="101"/>
      <c r="AG17" s="101"/>
      <c r="AH17" s="101">
        <f t="shared" si="16"/>
        <v>0</v>
      </c>
      <c r="AI17" s="101"/>
      <c r="AJ17" s="101"/>
      <c r="AK17" s="101">
        <f t="shared" si="17"/>
        <v>0</v>
      </c>
      <c r="AL17" s="101">
        <f t="shared" si="18"/>
        <v>0</v>
      </c>
      <c r="AM17" s="309"/>
      <c r="AN17" s="101"/>
      <c r="AO17" s="101">
        <f t="shared" si="19"/>
        <v>0</v>
      </c>
      <c r="AP17" s="101"/>
      <c r="AQ17" s="101"/>
      <c r="AR17" s="101">
        <f t="shared" si="20"/>
        <v>458.27699999999999</v>
      </c>
      <c r="AS17" s="101">
        <f t="shared" si="21"/>
        <v>0</v>
      </c>
      <c r="AT17" s="309"/>
      <c r="AU17" s="101"/>
      <c r="AV17" s="101">
        <f t="shared" si="22"/>
        <v>458.27699999999999</v>
      </c>
      <c r="AW17" s="101">
        <v>458.27699999999999</v>
      </c>
      <c r="AX17" s="101"/>
      <c r="AY17" s="310">
        <f t="shared" si="23"/>
        <v>1.1232279411764705</v>
      </c>
      <c r="AZ17" s="310"/>
      <c r="BA17" s="310">
        <f t="shared" si="1"/>
        <v>1.1232279411764705</v>
      </c>
      <c r="BB17" s="310"/>
      <c r="BC17" s="310"/>
      <c r="BD17" s="310"/>
      <c r="BE17" s="310"/>
      <c r="BF17" s="310"/>
      <c r="BG17" s="310"/>
      <c r="BH17" s="310"/>
      <c r="BI17" s="310"/>
      <c r="BJ17" s="310"/>
      <c r="BK17" s="310"/>
      <c r="BL17" s="310"/>
      <c r="BM17" s="310"/>
      <c r="BN17" s="310"/>
      <c r="BO17" s="310"/>
      <c r="BQ17" s="303"/>
    </row>
    <row r="18" spans="1:69" x14ac:dyDescent="0.25">
      <c r="A18" s="123">
        <v>5</v>
      </c>
      <c r="B18" s="124" t="s">
        <v>612</v>
      </c>
      <c r="C18" s="100">
        <f t="shared" si="3"/>
        <v>72135</v>
      </c>
      <c r="D18" s="101">
        <f t="shared" si="24"/>
        <v>27433</v>
      </c>
      <c r="E18" s="101">
        <f t="shared" si="25"/>
        <v>44702</v>
      </c>
      <c r="F18" s="101">
        <f t="shared" si="4"/>
        <v>0</v>
      </c>
      <c r="G18" s="101">
        <f t="shared" si="5"/>
        <v>0</v>
      </c>
      <c r="H18" s="101"/>
      <c r="I18" s="101"/>
      <c r="J18" s="101">
        <f t="shared" si="6"/>
        <v>0</v>
      </c>
      <c r="K18" s="101"/>
      <c r="L18" s="101"/>
      <c r="M18" s="101">
        <f t="shared" si="7"/>
        <v>0</v>
      </c>
      <c r="N18" s="101">
        <f t="shared" si="8"/>
        <v>0</v>
      </c>
      <c r="O18" s="101"/>
      <c r="P18" s="101"/>
      <c r="Q18" s="101">
        <f t="shared" si="9"/>
        <v>0</v>
      </c>
      <c r="R18" s="101"/>
      <c r="S18" s="101"/>
      <c r="T18" s="101">
        <f t="shared" si="10"/>
        <v>72135</v>
      </c>
      <c r="U18" s="101">
        <f t="shared" si="11"/>
        <v>27433</v>
      </c>
      <c r="V18" s="101">
        <v>27433</v>
      </c>
      <c r="W18" s="101"/>
      <c r="X18" s="101">
        <f t="shared" si="12"/>
        <v>44702</v>
      </c>
      <c r="Y18" s="101">
        <f>38759+1200+4743</f>
        <v>44702</v>
      </c>
      <c r="Z18" s="101"/>
      <c r="AA18" s="308">
        <f t="shared" si="13"/>
        <v>62452.842999999993</v>
      </c>
      <c r="AB18" s="149">
        <f t="shared" si="26"/>
        <v>10668.424999999999</v>
      </c>
      <c r="AC18" s="149">
        <f t="shared" si="27"/>
        <v>51784.417999999998</v>
      </c>
      <c r="AD18" s="149">
        <f t="shared" si="14"/>
        <v>0</v>
      </c>
      <c r="AE18" s="101">
        <f t="shared" si="15"/>
        <v>0</v>
      </c>
      <c r="AF18" s="101"/>
      <c r="AG18" s="101"/>
      <c r="AH18" s="101">
        <f t="shared" si="16"/>
        <v>0</v>
      </c>
      <c r="AI18" s="101"/>
      <c r="AJ18" s="101"/>
      <c r="AK18" s="101">
        <f t="shared" si="17"/>
        <v>0</v>
      </c>
      <c r="AL18" s="101">
        <f t="shared" si="18"/>
        <v>0</v>
      </c>
      <c r="AM18" s="309"/>
      <c r="AN18" s="101"/>
      <c r="AO18" s="101">
        <f t="shared" si="19"/>
        <v>0</v>
      </c>
      <c r="AP18" s="101"/>
      <c r="AQ18" s="101"/>
      <c r="AR18" s="101">
        <f t="shared" si="20"/>
        <v>62452.842999999993</v>
      </c>
      <c r="AS18" s="101">
        <f t="shared" si="21"/>
        <v>10668.424999999999</v>
      </c>
      <c r="AT18" s="309">
        <v>10668.424999999999</v>
      </c>
      <c r="AU18" s="101"/>
      <c r="AV18" s="101">
        <f t="shared" si="22"/>
        <v>51784.417999999998</v>
      </c>
      <c r="AW18" s="101">
        <v>51784.417999999998</v>
      </c>
      <c r="AX18" s="101"/>
      <c r="AY18" s="310">
        <f t="shared" si="23"/>
        <v>0.86577726485062723</v>
      </c>
      <c r="AZ18" s="310">
        <f t="shared" si="1"/>
        <v>0.38889020522728096</v>
      </c>
      <c r="BA18" s="310">
        <f t="shared" si="1"/>
        <v>1.1584362668336987</v>
      </c>
      <c r="BB18" s="310"/>
      <c r="BC18" s="310"/>
      <c r="BD18" s="310"/>
      <c r="BE18" s="310"/>
      <c r="BF18" s="310"/>
      <c r="BG18" s="310"/>
      <c r="BH18" s="310"/>
      <c r="BI18" s="310"/>
      <c r="BJ18" s="310"/>
      <c r="BK18" s="310"/>
      <c r="BL18" s="310"/>
      <c r="BM18" s="310"/>
      <c r="BN18" s="310"/>
      <c r="BO18" s="310"/>
      <c r="BQ18" s="303"/>
    </row>
    <row r="19" spans="1:69" x14ac:dyDescent="0.25">
      <c r="A19" s="123">
        <v>6</v>
      </c>
      <c r="B19" s="124" t="s">
        <v>289</v>
      </c>
      <c r="C19" s="100">
        <f t="shared" si="3"/>
        <v>543</v>
      </c>
      <c r="D19" s="101">
        <f t="shared" si="24"/>
        <v>0</v>
      </c>
      <c r="E19" s="101">
        <f t="shared" si="25"/>
        <v>543</v>
      </c>
      <c r="F19" s="101">
        <f t="shared" si="4"/>
        <v>0</v>
      </c>
      <c r="G19" s="101">
        <f t="shared" si="5"/>
        <v>0</v>
      </c>
      <c r="H19" s="101"/>
      <c r="I19" s="101"/>
      <c r="J19" s="101">
        <f t="shared" si="6"/>
        <v>0</v>
      </c>
      <c r="K19" s="101"/>
      <c r="L19" s="101"/>
      <c r="M19" s="101">
        <f t="shared" si="7"/>
        <v>30</v>
      </c>
      <c r="N19" s="101">
        <f t="shared" si="8"/>
        <v>0</v>
      </c>
      <c r="O19" s="101"/>
      <c r="P19" s="101"/>
      <c r="Q19" s="101">
        <f t="shared" si="9"/>
        <v>30</v>
      </c>
      <c r="R19" s="101">
        <v>30</v>
      </c>
      <c r="S19" s="101"/>
      <c r="T19" s="101">
        <f t="shared" si="10"/>
        <v>513</v>
      </c>
      <c r="U19" s="101">
        <f t="shared" si="11"/>
        <v>0</v>
      </c>
      <c r="V19" s="101">
        <v>0</v>
      </c>
      <c r="W19" s="101"/>
      <c r="X19" s="101">
        <f t="shared" si="12"/>
        <v>513</v>
      </c>
      <c r="Y19" s="101">
        <f>1713-1200</f>
        <v>513</v>
      </c>
      <c r="Z19" s="101"/>
      <c r="AA19" s="308">
        <f t="shared" si="13"/>
        <v>46.831440000000001</v>
      </c>
      <c r="AB19" s="149">
        <f t="shared" si="26"/>
        <v>0</v>
      </c>
      <c r="AC19" s="149">
        <f t="shared" si="27"/>
        <v>46.831440000000001</v>
      </c>
      <c r="AD19" s="149">
        <f t="shared" si="14"/>
        <v>0</v>
      </c>
      <c r="AE19" s="101">
        <f t="shared" si="15"/>
        <v>0</v>
      </c>
      <c r="AF19" s="101"/>
      <c r="AG19" s="101"/>
      <c r="AH19" s="101">
        <f t="shared" si="16"/>
        <v>0</v>
      </c>
      <c r="AI19" s="101"/>
      <c r="AJ19" s="101"/>
      <c r="AK19" s="101">
        <f t="shared" si="17"/>
        <v>46.831440000000001</v>
      </c>
      <c r="AL19" s="101">
        <f t="shared" si="18"/>
        <v>0</v>
      </c>
      <c r="AM19" s="309"/>
      <c r="AN19" s="101"/>
      <c r="AO19" s="101">
        <f t="shared" si="19"/>
        <v>46.831440000000001</v>
      </c>
      <c r="AP19" s="101">
        <v>46.831440000000001</v>
      </c>
      <c r="AQ19" s="101"/>
      <c r="AR19" s="101">
        <f t="shared" si="20"/>
        <v>0</v>
      </c>
      <c r="AS19" s="101">
        <f t="shared" si="21"/>
        <v>0</v>
      </c>
      <c r="AT19" s="309"/>
      <c r="AU19" s="101"/>
      <c r="AV19" s="101">
        <f t="shared" si="22"/>
        <v>0</v>
      </c>
      <c r="AW19" s="101">
        <v>0</v>
      </c>
      <c r="AX19" s="101"/>
      <c r="AY19" s="310">
        <f t="shared" si="23"/>
        <v>8.6245745856353598E-2</v>
      </c>
      <c r="AZ19" s="310"/>
      <c r="BA19" s="310">
        <f t="shared" si="1"/>
        <v>8.6245745856353598E-2</v>
      </c>
      <c r="BB19" s="310"/>
      <c r="BC19" s="310"/>
      <c r="BD19" s="310"/>
      <c r="BE19" s="310"/>
      <c r="BF19" s="310"/>
      <c r="BG19" s="310"/>
      <c r="BH19" s="310"/>
      <c r="BI19" s="310">
        <f t="shared" si="1"/>
        <v>1.561048</v>
      </c>
      <c r="BJ19" s="310"/>
      <c r="BK19" s="310"/>
      <c r="BL19" s="310"/>
      <c r="BM19" s="310">
        <f t="shared" si="1"/>
        <v>1.561048</v>
      </c>
      <c r="BN19" s="310">
        <f t="shared" si="1"/>
        <v>1.561048</v>
      </c>
      <c r="BO19" s="310"/>
      <c r="BQ19" s="303"/>
    </row>
    <row r="20" spans="1:69" ht="25.5" x14ac:dyDescent="0.25">
      <c r="A20" s="123">
        <v>7</v>
      </c>
      <c r="B20" s="124" t="s">
        <v>613</v>
      </c>
      <c r="C20" s="100">
        <f t="shared" si="3"/>
        <v>21957</v>
      </c>
      <c r="D20" s="101">
        <f t="shared" si="24"/>
        <v>16710</v>
      </c>
      <c r="E20" s="101">
        <f t="shared" si="25"/>
        <v>5247</v>
      </c>
      <c r="F20" s="101">
        <f t="shared" si="4"/>
        <v>21957</v>
      </c>
      <c r="G20" s="101">
        <f t="shared" si="5"/>
        <v>16710</v>
      </c>
      <c r="H20" s="101">
        <v>16710</v>
      </c>
      <c r="I20" s="101"/>
      <c r="J20" s="101">
        <f t="shared" si="6"/>
        <v>5247</v>
      </c>
      <c r="K20" s="101">
        <v>5247</v>
      </c>
      <c r="L20" s="101"/>
      <c r="M20" s="101">
        <f t="shared" si="7"/>
        <v>0</v>
      </c>
      <c r="N20" s="101">
        <f t="shared" si="8"/>
        <v>0</v>
      </c>
      <c r="O20" s="101">
        <v>0</v>
      </c>
      <c r="P20" s="101"/>
      <c r="Q20" s="101">
        <f t="shared" si="9"/>
        <v>0</v>
      </c>
      <c r="R20" s="101"/>
      <c r="S20" s="101"/>
      <c r="T20" s="101">
        <f t="shared" si="10"/>
        <v>0</v>
      </c>
      <c r="U20" s="101">
        <f t="shared" si="11"/>
        <v>0</v>
      </c>
      <c r="V20" s="101"/>
      <c r="W20" s="101"/>
      <c r="X20" s="101">
        <f t="shared" si="12"/>
        <v>0</v>
      </c>
      <c r="Y20" s="101"/>
      <c r="Z20" s="101"/>
      <c r="AA20" s="308">
        <f t="shared" si="13"/>
        <v>27357.276196999999</v>
      </c>
      <c r="AB20" s="149">
        <f t="shared" si="26"/>
        <v>21152.292629</v>
      </c>
      <c r="AC20" s="149">
        <f t="shared" si="27"/>
        <v>6204.9835679999997</v>
      </c>
      <c r="AD20" s="149">
        <f t="shared" si="14"/>
        <v>27357.276196999999</v>
      </c>
      <c r="AE20" s="101">
        <f t="shared" si="15"/>
        <v>21152.292629</v>
      </c>
      <c r="AF20" s="101">
        <v>21152.292629</v>
      </c>
      <c r="AG20" s="101"/>
      <c r="AH20" s="101">
        <f t="shared" si="16"/>
        <v>6204.9835679999997</v>
      </c>
      <c r="AI20" s="101">
        <v>6204.9835679999997</v>
      </c>
      <c r="AJ20" s="101"/>
      <c r="AK20" s="101">
        <f t="shared" si="17"/>
        <v>0</v>
      </c>
      <c r="AL20" s="101">
        <f t="shared" si="18"/>
        <v>0</v>
      </c>
      <c r="AM20" s="309"/>
      <c r="AN20" s="101"/>
      <c r="AO20" s="101">
        <f t="shared" si="19"/>
        <v>0</v>
      </c>
      <c r="AP20" s="101"/>
      <c r="AQ20" s="101"/>
      <c r="AR20" s="101">
        <f t="shared" si="20"/>
        <v>0</v>
      </c>
      <c r="AS20" s="101">
        <f t="shared" si="21"/>
        <v>0</v>
      </c>
      <c r="AT20" s="309"/>
      <c r="AU20" s="101"/>
      <c r="AV20" s="101">
        <f t="shared" si="22"/>
        <v>0</v>
      </c>
      <c r="AW20" s="101"/>
      <c r="AX20" s="101"/>
      <c r="AY20" s="310">
        <f t="shared" si="23"/>
        <v>1.2459478160495514</v>
      </c>
      <c r="AZ20" s="310">
        <f t="shared" si="1"/>
        <v>1.2658463572112508</v>
      </c>
      <c r="BA20" s="310">
        <f t="shared" si="1"/>
        <v>1.1825773905088621</v>
      </c>
      <c r="BB20" s="310">
        <f t="shared" si="1"/>
        <v>1.2459478160495514</v>
      </c>
      <c r="BC20" s="310">
        <f t="shared" si="1"/>
        <v>1.2658463572112508</v>
      </c>
      <c r="BD20" s="310">
        <f t="shared" si="1"/>
        <v>1.2658463572112508</v>
      </c>
      <c r="BE20" s="310"/>
      <c r="BF20" s="310">
        <f t="shared" si="1"/>
        <v>1.1825773905088621</v>
      </c>
      <c r="BG20" s="310">
        <f t="shared" si="1"/>
        <v>1.1825773905088621</v>
      </c>
      <c r="BH20" s="310"/>
      <c r="BI20" s="310"/>
      <c r="BJ20" s="310"/>
      <c r="BK20" s="310"/>
      <c r="BL20" s="310"/>
      <c r="BM20" s="310"/>
      <c r="BN20" s="310"/>
      <c r="BO20" s="310"/>
      <c r="BQ20" s="303"/>
    </row>
    <row r="21" spans="1:69" ht="25.5" x14ac:dyDescent="0.25">
      <c r="A21" s="123">
        <v>8</v>
      </c>
      <c r="B21" s="124" t="s">
        <v>614</v>
      </c>
      <c r="C21" s="100">
        <f t="shared" si="3"/>
        <v>11313</v>
      </c>
      <c r="D21" s="101">
        <f t="shared" si="24"/>
        <v>6252</v>
      </c>
      <c r="E21" s="101">
        <f t="shared" si="25"/>
        <v>5061</v>
      </c>
      <c r="F21" s="101">
        <f t="shared" si="4"/>
        <v>0</v>
      </c>
      <c r="G21" s="101">
        <f t="shared" si="5"/>
        <v>0</v>
      </c>
      <c r="H21" s="101"/>
      <c r="I21" s="101"/>
      <c r="J21" s="101">
        <f t="shared" si="6"/>
        <v>0</v>
      </c>
      <c r="K21" s="101"/>
      <c r="L21" s="101"/>
      <c r="M21" s="101">
        <f t="shared" si="7"/>
        <v>500</v>
      </c>
      <c r="N21" s="101">
        <f t="shared" si="8"/>
        <v>0</v>
      </c>
      <c r="O21" s="101">
        <v>0</v>
      </c>
      <c r="P21" s="101"/>
      <c r="Q21" s="101">
        <f t="shared" si="9"/>
        <v>500</v>
      </c>
      <c r="R21" s="101">
        <v>500</v>
      </c>
      <c r="S21" s="101"/>
      <c r="T21" s="101">
        <f t="shared" si="10"/>
        <v>10813</v>
      </c>
      <c r="U21" s="101">
        <f t="shared" si="11"/>
        <v>6252</v>
      </c>
      <c r="V21" s="101">
        <v>6252</v>
      </c>
      <c r="W21" s="101"/>
      <c r="X21" s="101">
        <f t="shared" si="12"/>
        <v>4561</v>
      </c>
      <c r="Y21" s="101">
        <v>4561</v>
      </c>
      <c r="Z21" s="101"/>
      <c r="AA21" s="308">
        <f t="shared" si="13"/>
        <v>4398.35628</v>
      </c>
      <c r="AB21" s="149">
        <f t="shared" si="26"/>
        <v>406.32499999999999</v>
      </c>
      <c r="AC21" s="149">
        <f t="shared" si="27"/>
        <v>3992.0312800000002</v>
      </c>
      <c r="AD21" s="149">
        <f t="shared" si="14"/>
        <v>0</v>
      </c>
      <c r="AE21" s="101">
        <f t="shared" si="15"/>
        <v>0</v>
      </c>
      <c r="AF21" s="101"/>
      <c r="AG21" s="101"/>
      <c r="AH21" s="101">
        <f t="shared" si="16"/>
        <v>0</v>
      </c>
      <c r="AI21" s="101"/>
      <c r="AJ21" s="101"/>
      <c r="AK21" s="101">
        <f t="shared" si="17"/>
        <v>324.11199999999997</v>
      </c>
      <c r="AL21" s="101">
        <f t="shared" si="18"/>
        <v>0</v>
      </c>
      <c r="AM21" s="309"/>
      <c r="AN21" s="101"/>
      <c r="AO21" s="101">
        <f t="shared" si="19"/>
        <v>324.11199999999997</v>
      </c>
      <c r="AP21" s="101">
        <v>324.11199999999997</v>
      </c>
      <c r="AQ21" s="101"/>
      <c r="AR21" s="101">
        <f t="shared" si="20"/>
        <v>4074.2442799999999</v>
      </c>
      <c r="AS21" s="101">
        <f t="shared" si="21"/>
        <v>406.32499999999999</v>
      </c>
      <c r="AT21" s="309">
        <v>406.32499999999999</v>
      </c>
      <c r="AU21" s="101"/>
      <c r="AV21" s="101">
        <f t="shared" si="22"/>
        <v>3667.9192800000001</v>
      </c>
      <c r="AW21" s="101">
        <v>3667.9192800000001</v>
      </c>
      <c r="AX21" s="101"/>
      <c r="AY21" s="310">
        <f t="shared" si="23"/>
        <v>0.38878779103686023</v>
      </c>
      <c r="AZ21" s="310">
        <f t="shared" si="1"/>
        <v>6.4991202815099167E-2</v>
      </c>
      <c r="BA21" s="310">
        <f t="shared" si="1"/>
        <v>0.7887831021537246</v>
      </c>
      <c r="BB21" s="310"/>
      <c r="BC21" s="310"/>
      <c r="BD21" s="310"/>
      <c r="BE21" s="310"/>
      <c r="BF21" s="310"/>
      <c r="BG21" s="310"/>
      <c r="BH21" s="310"/>
      <c r="BI21" s="310">
        <f t="shared" si="1"/>
        <v>0.64822399999999991</v>
      </c>
      <c r="BJ21" s="310"/>
      <c r="BK21" s="310"/>
      <c r="BL21" s="310"/>
      <c r="BM21" s="310">
        <f t="shared" si="1"/>
        <v>0.64822399999999991</v>
      </c>
      <c r="BN21" s="310">
        <f t="shared" si="1"/>
        <v>0.64822399999999991</v>
      </c>
      <c r="BO21" s="310"/>
      <c r="BQ21" s="303"/>
    </row>
    <row r="22" spans="1:69" ht="25.5" x14ac:dyDescent="0.25">
      <c r="A22" s="123">
        <v>9</v>
      </c>
      <c r="B22" s="124" t="s">
        <v>157</v>
      </c>
      <c r="C22" s="100">
        <f t="shared" si="3"/>
        <v>1464</v>
      </c>
      <c r="D22" s="101">
        <f t="shared" si="24"/>
        <v>0</v>
      </c>
      <c r="E22" s="101">
        <f t="shared" si="25"/>
        <v>1464</v>
      </c>
      <c r="F22" s="101">
        <f t="shared" si="4"/>
        <v>0</v>
      </c>
      <c r="G22" s="101"/>
      <c r="H22" s="101"/>
      <c r="I22" s="101"/>
      <c r="J22" s="101">
        <f t="shared" si="6"/>
        <v>0</v>
      </c>
      <c r="K22" s="101"/>
      <c r="L22" s="101"/>
      <c r="M22" s="101">
        <f t="shared" si="7"/>
        <v>1464</v>
      </c>
      <c r="N22" s="101">
        <f t="shared" si="8"/>
        <v>0</v>
      </c>
      <c r="O22" s="101">
        <v>0</v>
      </c>
      <c r="P22" s="101"/>
      <c r="Q22" s="101">
        <f t="shared" si="9"/>
        <v>1464</v>
      </c>
      <c r="R22" s="101">
        <f>2200-736</f>
        <v>1464</v>
      </c>
      <c r="S22" s="101"/>
      <c r="T22" s="101">
        <f t="shared" si="10"/>
        <v>0</v>
      </c>
      <c r="U22" s="101">
        <f t="shared" si="11"/>
        <v>0</v>
      </c>
      <c r="V22" s="101"/>
      <c r="W22" s="101"/>
      <c r="X22" s="101">
        <f t="shared" si="12"/>
        <v>0</v>
      </c>
      <c r="Y22" s="101"/>
      <c r="Z22" s="101"/>
      <c r="AA22" s="308">
        <f t="shared" si="13"/>
        <v>1517.46</v>
      </c>
      <c r="AB22" s="149">
        <f t="shared" si="26"/>
        <v>0</v>
      </c>
      <c r="AC22" s="149">
        <f t="shared" si="27"/>
        <v>1517.46</v>
      </c>
      <c r="AD22" s="149">
        <f t="shared" si="14"/>
        <v>0</v>
      </c>
      <c r="AE22" s="101">
        <f t="shared" si="15"/>
        <v>0</v>
      </c>
      <c r="AF22" s="101"/>
      <c r="AG22" s="101"/>
      <c r="AH22" s="101">
        <f t="shared" si="16"/>
        <v>0</v>
      </c>
      <c r="AI22" s="101"/>
      <c r="AJ22" s="101"/>
      <c r="AK22" s="101">
        <f t="shared" si="17"/>
        <v>1517.46</v>
      </c>
      <c r="AL22" s="101">
        <f t="shared" si="18"/>
        <v>0</v>
      </c>
      <c r="AM22" s="309"/>
      <c r="AN22" s="101"/>
      <c r="AO22" s="101">
        <f t="shared" si="19"/>
        <v>1517.46</v>
      </c>
      <c r="AP22" s="101">
        <v>1517.46</v>
      </c>
      <c r="AQ22" s="101"/>
      <c r="AR22" s="101">
        <f t="shared" si="20"/>
        <v>0</v>
      </c>
      <c r="AS22" s="101">
        <f t="shared" si="21"/>
        <v>0</v>
      </c>
      <c r="AT22" s="309"/>
      <c r="AU22" s="101"/>
      <c r="AV22" s="101">
        <f t="shared" si="22"/>
        <v>0</v>
      </c>
      <c r="AW22" s="101"/>
      <c r="AX22" s="101"/>
      <c r="AY22" s="310">
        <f t="shared" si="23"/>
        <v>1.0365163934426229</v>
      </c>
      <c r="AZ22" s="310"/>
      <c r="BA22" s="310">
        <f t="shared" si="1"/>
        <v>1.0365163934426229</v>
      </c>
      <c r="BB22" s="310"/>
      <c r="BC22" s="310"/>
      <c r="BD22" s="310"/>
      <c r="BE22" s="310"/>
      <c r="BF22" s="310"/>
      <c r="BG22" s="310"/>
      <c r="BH22" s="310"/>
      <c r="BI22" s="310">
        <f t="shared" si="1"/>
        <v>1.0365163934426229</v>
      </c>
      <c r="BJ22" s="310"/>
      <c r="BK22" s="310"/>
      <c r="BL22" s="310"/>
      <c r="BM22" s="310">
        <f t="shared" si="1"/>
        <v>1.0365163934426229</v>
      </c>
      <c r="BN22" s="310">
        <f t="shared" si="1"/>
        <v>1.0365163934426229</v>
      </c>
      <c r="BO22" s="310"/>
      <c r="BQ22" s="303"/>
    </row>
    <row r="23" spans="1:69" x14ac:dyDescent="0.25">
      <c r="A23" s="123">
        <v>10</v>
      </c>
      <c r="B23" s="124" t="s">
        <v>615</v>
      </c>
      <c r="C23" s="100">
        <f t="shared" si="3"/>
        <v>10865</v>
      </c>
      <c r="D23" s="101">
        <f t="shared" si="24"/>
        <v>0</v>
      </c>
      <c r="E23" s="101">
        <f t="shared" si="25"/>
        <v>10865</v>
      </c>
      <c r="F23" s="101">
        <f t="shared" si="4"/>
        <v>0</v>
      </c>
      <c r="G23" s="101">
        <f t="shared" si="5"/>
        <v>0</v>
      </c>
      <c r="H23" s="101"/>
      <c r="I23" s="101"/>
      <c r="J23" s="101">
        <f t="shared" si="6"/>
        <v>0</v>
      </c>
      <c r="K23" s="101"/>
      <c r="L23" s="101"/>
      <c r="M23" s="101">
        <f t="shared" si="7"/>
        <v>500</v>
      </c>
      <c r="N23" s="101">
        <f t="shared" si="8"/>
        <v>0</v>
      </c>
      <c r="O23" s="101">
        <v>0</v>
      </c>
      <c r="P23" s="101"/>
      <c r="Q23" s="101">
        <f t="shared" si="9"/>
        <v>500</v>
      </c>
      <c r="R23" s="101">
        <v>500</v>
      </c>
      <c r="S23" s="101"/>
      <c r="T23" s="101">
        <f t="shared" si="10"/>
        <v>10365</v>
      </c>
      <c r="U23" s="101">
        <f t="shared" si="11"/>
        <v>0</v>
      </c>
      <c r="V23" s="101">
        <v>0</v>
      </c>
      <c r="W23" s="101"/>
      <c r="X23" s="101">
        <f t="shared" si="12"/>
        <v>10365</v>
      </c>
      <c r="Y23" s="101">
        <v>10365</v>
      </c>
      <c r="Z23" s="101"/>
      <c r="AA23" s="308">
        <f t="shared" si="13"/>
        <v>3677.88375</v>
      </c>
      <c r="AB23" s="149">
        <f t="shared" si="26"/>
        <v>0</v>
      </c>
      <c r="AC23" s="149">
        <f t="shared" si="27"/>
        <v>3677.88375</v>
      </c>
      <c r="AD23" s="149">
        <f t="shared" si="14"/>
        <v>0</v>
      </c>
      <c r="AE23" s="101">
        <f t="shared" si="15"/>
        <v>0</v>
      </c>
      <c r="AF23" s="101"/>
      <c r="AG23" s="101"/>
      <c r="AH23" s="101">
        <f t="shared" si="16"/>
        <v>0</v>
      </c>
      <c r="AI23" s="101"/>
      <c r="AJ23" s="101"/>
      <c r="AK23" s="101">
        <f t="shared" si="17"/>
        <v>910.61950000000002</v>
      </c>
      <c r="AL23" s="101">
        <f t="shared" si="18"/>
        <v>0</v>
      </c>
      <c r="AM23" s="309"/>
      <c r="AN23" s="101"/>
      <c r="AO23" s="101">
        <f t="shared" si="19"/>
        <v>910.61950000000002</v>
      </c>
      <c r="AP23" s="101">
        <v>910.61950000000002</v>
      </c>
      <c r="AQ23" s="101"/>
      <c r="AR23" s="101">
        <f t="shared" si="20"/>
        <v>2767.2642500000002</v>
      </c>
      <c r="AS23" s="101">
        <f t="shared" si="21"/>
        <v>0</v>
      </c>
      <c r="AT23" s="309"/>
      <c r="AU23" s="101"/>
      <c r="AV23" s="101">
        <f t="shared" si="22"/>
        <v>2767.2642500000002</v>
      </c>
      <c r="AW23" s="101">
        <v>2767.2642500000002</v>
      </c>
      <c r="AX23" s="101"/>
      <c r="AY23" s="310">
        <f t="shared" si="23"/>
        <v>0.33850747814081916</v>
      </c>
      <c r="AZ23" s="310"/>
      <c r="BA23" s="310">
        <f t="shared" si="1"/>
        <v>0.33850747814081916</v>
      </c>
      <c r="BB23" s="310"/>
      <c r="BC23" s="310"/>
      <c r="BD23" s="310"/>
      <c r="BE23" s="310"/>
      <c r="BF23" s="310"/>
      <c r="BG23" s="310"/>
      <c r="BH23" s="310"/>
      <c r="BI23" s="310">
        <f t="shared" si="1"/>
        <v>1.8212390000000001</v>
      </c>
      <c r="BJ23" s="310"/>
      <c r="BK23" s="310"/>
      <c r="BL23" s="310"/>
      <c r="BM23" s="310">
        <f t="shared" si="1"/>
        <v>1.8212390000000001</v>
      </c>
      <c r="BN23" s="310">
        <f t="shared" si="1"/>
        <v>1.8212390000000001</v>
      </c>
      <c r="BO23" s="310"/>
      <c r="BQ23" s="303"/>
    </row>
    <row r="24" spans="1:69" x14ac:dyDescent="0.25">
      <c r="A24" s="123">
        <v>11</v>
      </c>
      <c r="B24" s="124" t="s">
        <v>616</v>
      </c>
      <c r="C24" s="100">
        <f t="shared" si="3"/>
        <v>1325</v>
      </c>
      <c r="D24" s="101">
        <f t="shared" si="24"/>
        <v>779</v>
      </c>
      <c r="E24" s="101">
        <f t="shared" si="25"/>
        <v>546</v>
      </c>
      <c r="F24" s="101">
        <f t="shared" si="4"/>
        <v>0</v>
      </c>
      <c r="G24" s="101">
        <f t="shared" si="5"/>
        <v>0</v>
      </c>
      <c r="H24" s="101"/>
      <c r="I24" s="101"/>
      <c r="J24" s="101">
        <f t="shared" si="6"/>
        <v>0</v>
      </c>
      <c r="K24" s="101"/>
      <c r="L24" s="101"/>
      <c r="M24" s="101">
        <f t="shared" si="7"/>
        <v>0</v>
      </c>
      <c r="N24" s="101">
        <f t="shared" si="8"/>
        <v>0</v>
      </c>
      <c r="O24" s="101">
        <v>0</v>
      </c>
      <c r="P24" s="101"/>
      <c r="Q24" s="101">
        <f t="shared" si="9"/>
        <v>0</v>
      </c>
      <c r="R24" s="101"/>
      <c r="S24" s="101"/>
      <c r="T24" s="101">
        <f t="shared" si="10"/>
        <v>1325</v>
      </c>
      <c r="U24" s="101">
        <f t="shared" si="11"/>
        <v>779</v>
      </c>
      <c r="V24" s="101">
        <v>779</v>
      </c>
      <c r="W24" s="101"/>
      <c r="X24" s="101">
        <f t="shared" si="12"/>
        <v>546</v>
      </c>
      <c r="Y24" s="101">
        <v>546</v>
      </c>
      <c r="Z24" s="101"/>
      <c r="AA24" s="308">
        <f t="shared" si="13"/>
        <v>507.30234200000001</v>
      </c>
      <c r="AB24" s="149">
        <f t="shared" si="26"/>
        <v>0</v>
      </c>
      <c r="AC24" s="149">
        <f t="shared" si="27"/>
        <v>507.30234200000001</v>
      </c>
      <c r="AD24" s="149">
        <f t="shared" si="14"/>
        <v>0</v>
      </c>
      <c r="AE24" s="101">
        <f t="shared" si="15"/>
        <v>0</v>
      </c>
      <c r="AF24" s="101"/>
      <c r="AG24" s="101"/>
      <c r="AH24" s="101">
        <f t="shared" si="16"/>
        <v>0</v>
      </c>
      <c r="AI24" s="101"/>
      <c r="AJ24" s="101"/>
      <c r="AK24" s="101">
        <f t="shared" si="17"/>
        <v>0</v>
      </c>
      <c r="AL24" s="101">
        <f t="shared" si="18"/>
        <v>0</v>
      </c>
      <c r="AM24" s="309"/>
      <c r="AN24" s="101"/>
      <c r="AO24" s="101">
        <f t="shared" si="19"/>
        <v>0</v>
      </c>
      <c r="AP24" s="101"/>
      <c r="AQ24" s="101"/>
      <c r="AR24" s="101">
        <f t="shared" si="20"/>
        <v>507.30234200000001</v>
      </c>
      <c r="AS24" s="101">
        <f t="shared" si="21"/>
        <v>0</v>
      </c>
      <c r="AT24" s="309"/>
      <c r="AU24" s="101"/>
      <c r="AV24" s="101">
        <f t="shared" si="22"/>
        <v>507.30234200000001</v>
      </c>
      <c r="AW24" s="101">
        <v>507.30234200000001</v>
      </c>
      <c r="AX24" s="101"/>
      <c r="AY24" s="310">
        <f t="shared" si="23"/>
        <v>0.38286969207547172</v>
      </c>
      <c r="AZ24" s="310"/>
      <c r="BA24" s="310">
        <f t="shared" si="1"/>
        <v>0.92912516849816851</v>
      </c>
      <c r="BB24" s="310"/>
      <c r="BC24" s="310"/>
      <c r="BD24" s="310"/>
      <c r="BE24" s="310"/>
      <c r="BF24" s="310"/>
      <c r="BG24" s="310"/>
      <c r="BH24" s="310"/>
      <c r="BI24" s="310"/>
      <c r="BJ24" s="310"/>
      <c r="BK24" s="310"/>
      <c r="BL24" s="310"/>
      <c r="BM24" s="310"/>
      <c r="BN24" s="310"/>
      <c r="BO24" s="310"/>
      <c r="BQ24" s="303"/>
    </row>
    <row r="25" spans="1:69" x14ac:dyDescent="0.25">
      <c r="A25" s="123">
        <v>12</v>
      </c>
      <c r="B25" s="124" t="s">
        <v>617</v>
      </c>
      <c r="C25" s="100">
        <f t="shared" si="3"/>
        <v>500</v>
      </c>
      <c r="D25" s="101">
        <f t="shared" si="24"/>
        <v>0</v>
      </c>
      <c r="E25" s="101">
        <f t="shared" si="25"/>
        <v>500</v>
      </c>
      <c r="F25" s="101">
        <f t="shared" si="4"/>
        <v>0</v>
      </c>
      <c r="G25" s="101">
        <f t="shared" si="5"/>
        <v>0</v>
      </c>
      <c r="H25" s="101"/>
      <c r="I25" s="101"/>
      <c r="J25" s="101">
        <f t="shared" si="6"/>
        <v>0</v>
      </c>
      <c r="K25" s="101"/>
      <c r="L25" s="101"/>
      <c r="M25" s="101">
        <f t="shared" si="7"/>
        <v>200</v>
      </c>
      <c r="N25" s="101">
        <f t="shared" si="8"/>
        <v>0</v>
      </c>
      <c r="O25" s="101">
        <v>0</v>
      </c>
      <c r="P25" s="101"/>
      <c r="Q25" s="101">
        <f t="shared" si="9"/>
        <v>200</v>
      </c>
      <c r="R25" s="101">
        <v>200</v>
      </c>
      <c r="S25" s="101"/>
      <c r="T25" s="101">
        <f t="shared" si="10"/>
        <v>300</v>
      </c>
      <c r="U25" s="101">
        <f t="shared" si="11"/>
        <v>0</v>
      </c>
      <c r="V25" s="101">
        <v>0</v>
      </c>
      <c r="W25" s="101"/>
      <c r="X25" s="101">
        <f t="shared" si="12"/>
        <v>300</v>
      </c>
      <c r="Y25" s="101">
        <v>300</v>
      </c>
      <c r="Z25" s="101"/>
      <c r="AA25" s="308">
        <f t="shared" si="13"/>
        <v>514</v>
      </c>
      <c r="AB25" s="149">
        <f t="shared" si="26"/>
        <v>0</v>
      </c>
      <c r="AC25" s="149">
        <f t="shared" si="27"/>
        <v>514</v>
      </c>
      <c r="AD25" s="149">
        <f t="shared" si="14"/>
        <v>0</v>
      </c>
      <c r="AE25" s="101">
        <f t="shared" si="15"/>
        <v>0</v>
      </c>
      <c r="AF25" s="101"/>
      <c r="AG25" s="101"/>
      <c r="AH25" s="101">
        <f t="shared" si="16"/>
        <v>0</v>
      </c>
      <c r="AI25" s="101"/>
      <c r="AJ25" s="101"/>
      <c r="AK25" s="101">
        <f t="shared" si="17"/>
        <v>200</v>
      </c>
      <c r="AL25" s="101">
        <f t="shared" si="18"/>
        <v>0</v>
      </c>
      <c r="AM25" s="309"/>
      <c r="AN25" s="101"/>
      <c r="AO25" s="101">
        <f t="shared" si="19"/>
        <v>200</v>
      </c>
      <c r="AP25" s="101">
        <v>200</v>
      </c>
      <c r="AQ25" s="101"/>
      <c r="AR25" s="101">
        <f t="shared" si="20"/>
        <v>314</v>
      </c>
      <c r="AS25" s="101">
        <f t="shared" si="21"/>
        <v>0</v>
      </c>
      <c r="AT25" s="309"/>
      <c r="AU25" s="101"/>
      <c r="AV25" s="101">
        <f t="shared" si="22"/>
        <v>314</v>
      </c>
      <c r="AW25" s="101">
        <v>314</v>
      </c>
      <c r="AX25" s="101"/>
      <c r="AY25" s="310">
        <f t="shared" si="23"/>
        <v>1.028</v>
      </c>
      <c r="AZ25" s="310"/>
      <c r="BA25" s="310">
        <f t="shared" si="1"/>
        <v>1.028</v>
      </c>
      <c r="BB25" s="310"/>
      <c r="BC25" s="310"/>
      <c r="BD25" s="310"/>
      <c r="BE25" s="310"/>
      <c r="BF25" s="310"/>
      <c r="BG25" s="310"/>
      <c r="BH25" s="310"/>
      <c r="BI25" s="310">
        <f t="shared" si="1"/>
        <v>1</v>
      </c>
      <c r="BJ25" s="310"/>
      <c r="BK25" s="310"/>
      <c r="BL25" s="310"/>
      <c r="BM25" s="310">
        <f t="shared" si="1"/>
        <v>1</v>
      </c>
      <c r="BN25" s="310">
        <f t="shared" si="1"/>
        <v>1</v>
      </c>
      <c r="BO25" s="310"/>
      <c r="BQ25" s="303"/>
    </row>
    <row r="26" spans="1:69" x14ac:dyDescent="0.25">
      <c r="A26" s="123">
        <v>13</v>
      </c>
      <c r="B26" s="124" t="s">
        <v>618</v>
      </c>
      <c r="C26" s="100">
        <f t="shared" si="3"/>
        <v>700</v>
      </c>
      <c r="D26" s="101">
        <f t="shared" si="24"/>
        <v>0</v>
      </c>
      <c r="E26" s="101">
        <f t="shared" si="25"/>
        <v>700</v>
      </c>
      <c r="F26" s="101">
        <f t="shared" si="4"/>
        <v>0</v>
      </c>
      <c r="G26" s="101">
        <f t="shared" si="5"/>
        <v>0</v>
      </c>
      <c r="H26" s="101"/>
      <c r="I26" s="101"/>
      <c r="J26" s="101">
        <f t="shared" si="6"/>
        <v>0</v>
      </c>
      <c r="K26" s="101"/>
      <c r="L26" s="101"/>
      <c r="M26" s="101">
        <f t="shared" si="7"/>
        <v>400</v>
      </c>
      <c r="N26" s="101">
        <f t="shared" si="8"/>
        <v>0</v>
      </c>
      <c r="O26" s="101">
        <v>0</v>
      </c>
      <c r="P26" s="101"/>
      <c r="Q26" s="101">
        <f t="shared" si="9"/>
        <v>400</v>
      </c>
      <c r="R26" s="101">
        <v>400</v>
      </c>
      <c r="S26" s="101"/>
      <c r="T26" s="101">
        <f t="shared" si="10"/>
        <v>300</v>
      </c>
      <c r="U26" s="101">
        <f t="shared" si="11"/>
        <v>0</v>
      </c>
      <c r="V26" s="101">
        <v>0</v>
      </c>
      <c r="W26" s="101"/>
      <c r="X26" s="101">
        <f t="shared" si="12"/>
        <v>300</v>
      </c>
      <c r="Y26" s="101">
        <v>300</v>
      </c>
      <c r="Z26" s="101"/>
      <c r="AA26" s="308">
        <f t="shared" si="13"/>
        <v>1305.797761</v>
      </c>
      <c r="AB26" s="149">
        <f t="shared" si="26"/>
        <v>0</v>
      </c>
      <c r="AC26" s="149">
        <f t="shared" si="27"/>
        <v>1305.797761</v>
      </c>
      <c r="AD26" s="149">
        <f t="shared" si="14"/>
        <v>0</v>
      </c>
      <c r="AE26" s="101">
        <f t="shared" si="15"/>
        <v>0</v>
      </c>
      <c r="AF26" s="101"/>
      <c r="AG26" s="101"/>
      <c r="AH26" s="101">
        <f t="shared" si="16"/>
        <v>0</v>
      </c>
      <c r="AI26" s="101"/>
      <c r="AJ26" s="101"/>
      <c r="AK26" s="101">
        <f t="shared" si="17"/>
        <v>892.79776100000004</v>
      </c>
      <c r="AL26" s="101">
        <f t="shared" si="18"/>
        <v>0</v>
      </c>
      <c r="AM26" s="309"/>
      <c r="AN26" s="101"/>
      <c r="AO26" s="101">
        <f t="shared" si="19"/>
        <v>892.79776100000004</v>
      </c>
      <c r="AP26" s="101">
        <v>892.79776100000004</v>
      </c>
      <c r="AQ26" s="101"/>
      <c r="AR26" s="101">
        <f t="shared" si="20"/>
        <v>413</v>
      </c>
      <c r="AS26" s="101">
        <f t="shared" si="21"/>
        <v>0</v>
      </c>
      <c r="AT26" s="309"/>
      <c r="AU26" s="101"/>
      <c r="AV26" s="101">
        <f t="shared" si="22"/>
        <v>413</v>
      </c>
      <c r="AW26" s="101">
        <v>413</v>
      </c>
      <c r="AX26" s="101"/>
      <c r="AY26" s="310">
        <f t="shared" si="23"/>
        <v>1.8654253728571428</v>
      </c>
      <c r="AZ26" s="310"/>
      <c r="BA26" s="310">
        <f t="shared" si="1"/>
        <v>1.8654253728571428</v>
      </c>
      <c r="BB26" s="310"/>
      <c r="BC26" s="310"/>
      <c r="BD26" s="310"/>
      <c r="BE26" s="310"/>
      <c r="BF26" s="310"/>
      <c r="BG26" s="310"/>
      <c r="BH26" s="310"/>
      <c r="BI26" s="310">
        <f t="shared" si="1"/>
        <v>2.2319944025000003</v>
      </c>
      <c r="BJ26" s="310"/>
      <c r="BK26" s="310"/>
      <c r="BL26" s="310"/>
      <c r="BM26" s="310">
        <f t="shared" si="1"/>
        <v>2.2319944025000003</v>
      </c>
      <c r="BN26" s="310">
        <f t="shared" si="1"/>
        <v>2.2319944025000003</v>
      </c>
      <c r="BO26" s="310"/>
      <c r="BQ26" s="303"/>
    </row>
    <row r="27" spans="1:69" ht="25.5" x14ac:dyDescent="0.25">
      <c r="A27" s="123">
        <v>14</v>
      </c>
      <c r="B27" s="124" t="s">
        <v>705</v>
      </c>
      <c r="C27" s="100">
        <f t="shared" si="3"/>
        <v>185</v>
      </c>
      <c r="D27" s="101">
        <f t="shared" si="24"/>
        <v>0</v>
      </c>
      <c r="E27" s="101">
        <f t="shared" si="25"/>
        <v>185</v>
      </c>
      <c r="F27" s="101">
        <f t="shared" si="4"/>
        <v>0</v>
      </c>
      <c r="G27" s="101">
        <f t="shared" si="5"/>
        <v>0</v>
      </c>
      <c r="H27" s="101"/>
      <c r="I27" s="101"/>
      <c r="J27" s="101">
        <f t="shared" si="6"/>
        <v>0</v>
      </c>
      <c r="K27" s="101"/>
      <c r="L27" s="101"/>
      <c r="M27" s="101">
        <f t="shared" si="7"/>
        <v>100</v>
      </c>
      <c r="N27" s="101">
        <f t="shared" si="8"/>
        <v>0</v>
      </c>
      <c r="O27" s="101"/>
      <c r="P27" s="101"/>
      <c r="Q27" s="101">
        <f t="shared" si="9"/>
        <v>100</v>
      </c>
      <c r="R27" s="101">
        <v>100</v>
      </c>
      <c r="S27" s="101"/>
      <c r="T27" s="101">
        <f t="shared" si="10"/>
        <v>85</v>
      </c>
      <c r="U27" s="101">
        <f t="shared" si="11"/>
        <v>0</v>
      </c>
      <c r="V27" s="101">
        <v>0</v>
      </c>
      <c r="W27" s="101"/>
      <c r="X27" s="101">
        <f t="shared" si="12"/>
        <v>85</v>
      </c>
      <c r="Y27" s="101">
        <v>85</v>
      </c>
      <c r="Z27" s="101"/>
      <c r="AA27" s="308">
        <f t="shared" si="13"/>
        <v>314.33825000000002</v>
      </c>
      <c r="AB27" s="149">
        <f t="shared" si="26"/>
        <v>0</v>
      </c>
      <c r="AC27" s="149">
        <f t="shared" si="27"/>
        <v>314.33825000000002</v>
      </c>
      <c r="AD27" s="149">
        <f t="shared" si="14"/>
        <v>0</v>
      </c>
      <c r="AE27" s="101">
        <f t="shared" si="15"/>
        <v>0</v>
      </c>
      <c r="AF27" s="101"/>
      <c r="AG27" s="101"/>
      <c r="AH27" s="101">
        <f t="shared" si="16"/>
        <v>0</v>
      </c>
      <c r="AI27" s="101"/>
      <c r="AJ27" s="101"/>
      <c r="AK27" s="101">
        <f t="shared" si="17"/>
        <v>200</v>
      </c>
      <c r="AL27" s="101">
        <f t="shared" si="18"/>
        <v>0</v>
      </c>
      <c r="AM27" s="309"/>
      <c r="AN27" s="101"/>
      <c r="AO27" s="101">
        <f t="shared" si="19"/>
        <v>200</v>
      </c>
      <c r="AP27" s="101">
        <v>200</v>
      </c>
      <c r="AQ27" s="101"/>
      <c r="AR27" s="101">
        <f t="shared" si="20"/>
        <v>114.33825</v>
      </c>
      <c r="AS27" s="101">
        <f t="shared" si="21"/>
        <v>0</v>
      </c>
      <c r="AT27" s="309"/>
      <c r="AU27" s="101"/>
      <c r="AV27" s="101">
        <f t="shared" si="22"/>
        <v>114.33825</v>
      </c>
      <c r="AW27" s="101">
        <v>114.33825</v>
      </c>
      <c r="AX27" s="101"/>
      <c r="AY27" s="310">
        <f t="shared" si="23"/>
        <v>1.6991256756756759</v>
      </c>
      <c r="AZ27" s="310"/>
      <c r="BA27" s="310">
        <f t="shared" si="1"/>
        <v>1.6991256756756759</v>
      </c>
      <c r="BB27" s="310"/>
      <c r="BC27" s="310"/>
      <c r="BD27" s="310"/>
      <c r="BE27" s="310"/>
      <c r="BF27" s="310"/>
      <c r="BG27" s="310"/>
      <c r="BH27" s="310"/>
      <c r="BI27" s="310">
        <f t="shared" si="1"/>
        <v>2</v>
      </c>
      <c r="BJ27" s="310"/>
      <c r="BK27" s="310"/>
      <c r="BL27" s="310"/>
      <c r="BM27" s="310">
        <f t="shared" si="1"/>
        <v>2</v>
      </c>
      <c r="BN27" s="310">
        <f t="shared" si="1"/>
        <v>2</v>
      </c>
      <c r="BO27" s="310"/>
      <c r="BQ27" s="303"/>
    </row>
    <row r="28" spans="1:69" x14ac:dyDescent="0.25">
      <c r="A28" s="123">
        <v>15</v>
      </c>
      <c r="B28" s="124" t="s">
        <v>706</v>
      </c>
      <c r="C28" s="100">
        <f t="shared" si="3"/>
        <v>29</v>
      </c>
      <c r="D28" s="101">
        <f t="shared" si="24"/>
        <v>0</v>
      </c>
      <c r="E28" s="101">
        <f t="shared" si="25"/>
        <v>29</v>
      </c>
      <c r="F28" s="101">
        <f t="shared" si="4"/>
        <v>0</v>
      </c>
      <c r="G28" s="101">
        <f t="shared" si="5"/>
        <v>0</v>
      </c>
      <c r="H28" s="101"/>
      <c r="I28" s="101"/>
      <c r="J28" s="101">
        <f t="shared" si="6"/>
        <v>0</v>
      </c>
      <c r="K28" s="101"/>
      <c r="L28" s="101"/>
      <c r="M28" s="101">
        <f t="shared" si="7"/>
        <v>0</v>
      </c>
      <c r="N28" s="101">
        <f t="shared" si="8"/>
        <v>0</v>
      </c>
      <c r="O28" s="101"/>
      <c r="P28" s="101"/>
      <c r="Q28" s="101">
        <f t="shared" si="9"/>
        <v>0</v>
      </c>
      <c r="R28" s="101"/>
      <c r="S28" s="101"/>
      <c r="T28" s="101">
        <f t="shared" si="10"/>
        <v>29</v>
      </c>
      <c r="U28" s="101">
        <f t="shared" si="11"/>
        <v>0</v>
      </c>
      <c r="V28" s="101">
        <v>0</v>
      </c>
      <c r="W28" s="101"/>
      <c r="X28" s="101">
        <f t="shared" si="12"/>
        <v>29</v>
      </c>
      <c r="Y28" s="101">
        <v>29</v>
      </c>
      <c r="Z28" s="101"/>
      <c r="AA28" s="308">
        <f t="shared" si="13"/>
        <v>31.902000000000001</v>
      </c>
      <c r="AB28" s="149">
        <f t="shared" si="26"/>
        <v>0</v>
      </c>
      <c r="AC28" s="149">
        <f t="shared" si="27"/>
        <v>31.902000000000001</v>
      </c>
      <c r="AD28" s="149">
        <f t="shared" si="14"/>
        <v>0</v>
      </c>
      <c r="AE28" s="101">
        <f t="shared" si="15"/>
        <v>0</v>
      </c>
      <c r="AF28" s="101"/>
      <c r="AG28" s="101"/>
      <c r="AH28" s="101">
        <f t="shared" si="16"/>
        <v>0</v>
      </c>
      <c r="AI28" s="101"/>
      <c r="AJ28" s="101"/>
      <c r="AK28" s="101">
        <f t="shared" si="17"/>
        <v>0</v>
      </c>
      <c r="AL28" s="101">
        <f t="shared" si="18"/>
        <v>0</v>
      </c>
      <c r="AM28" s="309"/>
      <c r="AN28" s="101"/>
      <c r="AO28" s="101">
        <f t="shared" si="19"/>
        <v>0</v>
      </c>
      <c r="AP28" s="101"/>
      <c r="AQ28" s="101"/>
      <c r="AR28" s="101">
        <f t="shared" si="20"/>
        <v>31.902000000000001</v>
      </c>
      <c r="AS28" s="101">
        <f t="shared" si="21"/>
        <v>0</v>
      </c>
      <c r="AT28" s="309"/>
      <c r="AU28" s="101"/>
      <c r="AV28" s="101">
        <f t="shared" si="22"/>
        <v>31.902000000000001</v>
      </c>
      <c r="AW28" s="101">
        <v>31.902000000000001</v>
      </c>
      <c r="AX28" s="101"/>
      <c r="AY28" s="310">
        <f t="shared" si="23"/>
        <v>1.1000689655172413</v>
      </c>
      <c r="AZ28" s="310"/>
      <c r="BA28" s="310">
        <f t="shared" si="23"/>
        <v>1.1000689655172413</v>
      </c>
      <c r="BB28" s="310"/>
      <c r="BC28" s="310"/>
      <c r="BD28" s="310"/>
      <c r="BE28" s="310"/>
      <c r="BF28" s="310"/>
      <c r="BG28" s="310"/>
      <c r="BH28" s="310"/>
      <c r="BI28" s="310"/>
      <c r="BJ28" s="310"/>
      <c r="BK28" s="310"/>
      <c r="BL28" s="310"/>
      <c r="BM28" s="310"/>
      <c r="BN28" s="310"/>
      <c r="BO28" s="310"/>
      <c r="BQ28" s="303"/>
    </row>
    <row r="29" spans="1:69" x14ac:dyDescent="0.25">
      <c r="A29" s="123">
        <v>16</v>
      </c>
      <c r="B29" s="124" t="s">
        <v>619</v>
      </c>
      <c r="C29" s="100">
        <f t="shared" si="3"/>
        <v>2367</v>
      </c>
      <c r="D29" s="101">
        <f t="shared" si="24"/>
        <v>0</v>
      </c>
      <c r="E29" s="101">
        <f t="shared" si="25"/>
        <v>2367</v>
      </c>
      <c r="F29" s="101">
        <f t="shared" si="4"/>
        <v>1347</v>
      </c>
      <c r="G29" s="101">
        <f t="shared" si="5"/>
        <v>0</v>
      </c>
      <c r="H29" s="101"/>
      <c r="I29" s="101"/>
      <c r="J29" s="101">
        <f t="shared" si="6"/>
        <v>1347</v>
      </c>
      <c r="K29" s="101">
        <v>1347</v>
      </c>
      <c r="L29" s="101"/>
      <c r="M29" s="101">
        <f t="shared" si="7"/>
        <v>650</v>
      </c>
      <c r="N29" s="101">
        <f t="shared" si="8"/>
        <v>0</v>
      </c>
      <c r="O29" s="101">
        <v>0</v>
      </c>
      <c r="P29" s="101"/>
      <c r="Q29" s="101">
        <f t="shared" si="9"/>
        <v>650</v>
      </c>
      <c r="R29" s="101">
        <v>650</v>
      </c>
      <c r="S29" s="101"/>
      <c r="T29" s="101">
        <f t="shared" si="10"/>
        <v>370</v>
      </c>
      <c r="U29" s="101">
        <f t="shared" si="11"/>
        <v>0</v>
      </c>
      <c r="V29" s="101">
        <f>1169-1169</f>
        <v>0</v>
      </c>
      <c r="W29" s="101"/>
      <c r="X29" s="101">
        <f t="shared" si="12"/>
        <v>370</v>
      </c>
      <c r="Y29" s="101">
        <v>370</v>
      </c>
      <c r="Z29" s="101"/>
      <c r="AA29" s="308">
        <f t="shared" si="13"/>
        <v>5725.9757449999997</v>
      </c>
      <c r="AB29" s="149">
        <f t="shared" si="26"/>
        <v>0</v>
      </c>
      <c r="AC29" s="149">
        <f t="shared" si="27"/>
        <v>5725.9757449999997</v>
      </c>
      <c r="AD29" s="149">
        <f t="shared" si="14"/>
        <v>1512.6507449999999</v>
      </c>
      <c r="AE29" s="101">
        <f t="shared" si="15"/>
        <v>0</v>
      </c>
      <c r="AF29" s="101"/>
      <c r="AG29" s="101"/>
      <c r="AH29" s="101">
        <f t="shared" si="16"/>
        <v>1512.6507449999999</v>
      </c>
      <c r="AI29" s="101">
        <v>1512.6507449999999</v>
      </c>
      <c r="AJ29" s="101"/>
      <c r="AK29" s="101">
        <f t="shared" si="17"/>
        <v>3983.0990000000002</v>
      </c>
      <c r="AL29" s="101">
        <f t="shared" si="18"/>
        <v>0</v>
      </c>
      <c r="AM29" s="309"/>
      <c r="AN29" s="101"/>
      <c r="AO29" s="101">
        <f t="shared" si="19"/>
        <v>3983.0990000000002</v>
      </c>
      <c r="AP29" s="101">
        <v>3983.0990000000002</v>
      </c>
      <c r="AQ29" s="101"/>
      <c r="AR29" s="101">
        <f t="shared" si="20"/>
        <v>230.226</v>
      </c>
      <c r="AS29" s="101">
        <f t="shared" si="21"/>
        <v>0</v>
      </c>
      <c r="AT29" s="309"/>
      <c r="AU29" s="101"/>
      <c r="AV29" s="101">
        <f t="shared" si="22"/>
        <v>230.226</v>
      </c>
      <c r="AW29" s="101">
        <v>230.226</v>
      </c>
      <c r="AX29" s="101"/>
      <c r="AY29" s="310">
        <f t="shared" si="23"/>
        <v>2.4190856548373469</v>
      </c>
      <c r="AZ29" s="310"/>
      <c r="BA29" s="310">
        <f t="shared" si="23"/>
        <v>2.4190856548373469</v>
      </c>
      <c r="BB29" s="310">
        <f t="shared" si="23"/>
        <v>1.122977538975501</v>
      </c>
      <c r="BC29" s="310"/>
      <c r="BD29" s="310"/>
      <c r="BE29" s="310"/>
      <c r="BF29" s="310">
        <f t="shared" si="23"/>
        <v>1.122977538975501</v>
      </c>
      <c r="BG29" s="310">
        <f t="shared" si="23"/>
        <v>1.122977538975501</v>
      </c>
      <c r="BH29" s="310"/>
      <c r="BI29" s="310">
        <f t="shared" si="23"/>
        <v>6.1278446153846158</v>
      </c>
      <c r="BJ29" s="310"/>
      <c r="BK29" s="310"/>
      <c r="BL29" s="310"/>
      <c r="BM29" s="310">
        <f t="shared" si="23"/>
        <v>6.1278446153846158</v>
      </c>
      <c r="BN29" s="310">
        <f t="shared" si="23"/>
        <v>6.1278446153846158</v>
      </c>
      <c r="BO29" s="310"/>
      <c r="BQ29" s="303"/>
    </row>
    <row r="30" spans="1:69" x14ac:dyDescent="0.25">
      <c r="A30" s="123">
        <v>17</v>
      </c>
      <c r="B30" s="124" t="s">
        <v>620</v>
      </c>
      <c r="C30" s="100">
        <f t="shared" si="3"/>
        <v>29</v>
      </c>
      <c r="D30" s="101">
        <f t="shared" si="24"/>
        <v>0</v>
      </c>
      <c r="E30" s="101">
        <f t="shared" si="25"/>
        <v>29</v>
      </c>
      <c r="F30" s="101">
        <f t="shared" si="4"/>
        <v>0</v>
      </c>
      <c r="G30" s="101">
        <f t="shared" si="5"/>
        <v>0</v>
      </c>
      <c r="H30" s="101"/>
      <c r="I30" s="101"/>
      <c r="J30" s="101">
        <f t="shared" si="6"/>
        <v>0</v>
      </c>
      <c r="K30" s="101"/>
      <c r="L30" s="101"/>
      <c r="M30" s="101">
        <f t="shared" si="7"/>
        <v>0</v>
      </c>
      <c r="N30" s="101">
        <f t="shared" si="8"/>
        <v>0</v>
      </c>
      <c r="O30" s="101"/>
      <c r="P30" s="101"/>
      <c r="Q30" s="101">
        <f t="shared" si="9"/>
        <v>0</v>
      </c>
      <c r="R30" s="101"/>
      <c r="S30" s="101"/>
      <c r="T30" s="101">
        <f t="shared" si="10"/>
        <v>29</v>
      </c>
      <c r="U30" s="101">
        <f t="shared" si="11"/>
        <v>0</v>
      </c>
      <c r="V30" s="101">
        <v>0</v>
      </c>
      <c r="W30" s="101"/>
      <c r="X30" s="101">
        <f t="shared" si="12"/>
        <v>29</v>
      </c>
      <c r="Y30" s="101">
        <v>29</v>
      </c>
      <c r="Z30" s="101"/>
      <c r="AA30" s="308">
        <f t="shared" si="13"/>
        <v>29.4</v>
      </c>
      <c r="AB30" s="149">
        <f t="shared" si="26"/>
        <v>0</v>
      </c>
      <c r="AC30" s="149">
        <f t="shared" si="27"/>
        <v>29.4</v>
      </c>
      <c r="AD30" s="149">
        <f t="shared" si="14"/>
        <v>0</v>
      </c>
      <c r="AE30" s="101">
        <f t="shared" si="15"/>
        <v>0</v>
      </c>
      <c r="AF30" s="101"/>
      <c r="AG30" s="101"/>
      <c r="AH30" s="101">
        <f t="shared" si="16"/>
        <v>0</v>
      </c>
      <c r="AI30" s="101"/>
      <c r="AJ30" s="101"/>
      <c r="AK30" s="101">
        <f t="shared" si="17"/>
        <v>0</v>
      </c>
      <c r="AL30" s="101">
        <f t="shared" si="18"/>
        <v>0</v>
      </c>
      <c r="AM30" s="309"/>
      <c r="AN30" s="101"/>
      <c r="AO30" s="101">
        <f t="shared" si="19"/>
        <v>0</v>
      </c>
      <c r="AP30" s="101"/>
      <c r="AQ30" s="101"/>
      <c r="AR30" s="101">
        <f t="shared" si="20"/>
        <v>29.4</v>
      </c>
      <c r="AS30" s="101">
        <f t="shared" si="21"/>
        <v>0</v>
      </c>
      <c r="AT30" s="309"/>
      <c r="AU30" s="101"/>
      <c r="AV30" s="101">
        <f t="shared" si="22"/>
        <v>29.4</v>
      </c>
      <c r="AW30" s="101">
        <v>29.4</v>
      </c>
      <c r="AX30" s="101"/>
      <c r="AY30" s="310">
        <f t="shared" ref="AY30:BN43" si="28">AA30/C30</f>
        <v>1.0137931034482759</v>
      </c>
      <c r="AZ30" s="310"/>
      <c r="BA30" s="310">
        <f t="shared" si="28"/>
        <v>1.0137931034482759</v>
      </c>
      <c r="BB30" s="310"/>
      <c r="BC30" s="310"/>
      <c r="BD30" s="310"/>
      <c r="BE30" s="310"/>
      <c r="BF30" s="310"/>
      <c r="BG30" s="310"/>
      <c r="BH30" s="310"/>
      <c r="BI30" s="310"/>
      <c r="BJ30" s="310"/>
      <c r="BK30" s="310"/>
      <c r="BL30" s="310"/>
      <c r="BM30" s="310"/>
      <c r="BN30" s="310"/>
      <c r="BO30" s="310"/>
      <c r="BQ30" s="303"/>
    </row>
    <row r="31" spans="1:69" x14ac:dyDescent="0.25">
      <c r="A31" s="123">
        <v>18</v>
      </c>
      <c r="B31" s="124" t="s">
        <v>302</v>
      </c>
      <c r="C31" s="100">
        <f t="shared" si="3"/>
        <v>29</v>
      </c>
      <c r="D31" s="101">
        <f t="shared" si="24"/>
        <v>0</v>
      </c>
      <c r="E31" s="101">
        <f t="shared" si="25"/>
        <v>29</v>
      </c>
      <c r="F31" s="101">
        <f t="shared" si="4"/>
        <v>0</v>
      </c>
      <c r="G31" s="101">
        <f t="shared" si="5"/>
        <v>0</v>
      </c>
      <c r="H31" s="101"/>
      <c r="I31" s="101"/>
      <c r="J31" s="101">
        <f t="shared" si="6"/>
        <v>0</v>
      </c>
      <c r="K31" s="101"/>
      <c r="L31" s="101"/>
      <c r="M31" s="101">
        <f t="shared" si="7"/>
        <v>0</v>
      </c>
      <c r="N31" s="101">
        <f t="shared" si="8"/>
        <v>0</v>
      </c>
      <c r="O31" s="101"/>
      <c r="P31" s="101"/>
      <c r="Q31" s="101">
        <f t="shared" si="9"/>
        <v>0</v>
      </c>
      <c r="R31" s="101"/>
      <c r="S31" s="101"/>
      <c r="T31" s="101">
        <f t="shared" si="10"/>
        <v>29</v>
      </c>
      <c r="U31" s="101">
        <f t="shared" si="11"/>
        <v>0</v>
      </c>
      <c r="V31" s="101">
        <v>0</v>
      </c>
      <c r="W31" s="101"/>
      <c r="X31" s="101">
        <f t="shared" si="12"/>
        <v>29</v>
      </c>
      <c r="Y31" s="101">
        <v>29</v>
      </c>
      <c r="Z31" s="101"/>
      <c r="AA31" s="308">
        <f t="shared" si="13"/>
        <v>32</v>
      </c>
      <c r="AB31" s="149">
        <f t="shared" si="26"/>
        <v>0</v>
      </c>
      <c r="AC31" s="149">
        <f t="shared" si="27"/>
        <v>32</v>
      </c>
      <c r="AD31" s="149">
        <f t="shared" si="14"/>
        <v>0</v>
      </c>
      <c r="AE31" s="101">
        <f t="shared" si="15"/>
        <v>0</v>
      </c>
      <c r="AF31" s="101"/>
      <c r="AG31" s="101"/>
      <c r="AH31" s="101">
        <f t="shared" si="16"/>
        <v>0</v>
      </c>
      <c r="AI31" s="101"/>
      <c r="AJ31" s="101"/>
      <c r="AK31" s="101">
        <f t="shared" si="17"/>
        <v>0</v>
      </c>
      <c r="AL31" s="101">
        <f t="shared" si="18"/>
        <v>0</v>
      </c>
      <c r="AM31" s="309"/>
      <c r="AN31" s="101"/>
      <c r="AO31" s="101">
        <f t="shared" si="19"/>
        <v>0</v>
      </c>
      <c r="AP31" s="101"/>
      <c r="AQ31" s="101"/>
      <c r="AR31" s="101">
        <f t="shared" si="20"/>
        <v>32</v>
      </c>
      <c r="AS31" s="101">
        <f t="shared" si="21"/>
        <v>0</v>
      </c>
      <c r="AT31" s="309"/>
      <c r="AU31" s="101"/>
      <c r="AV31" s="101">
        <f t="shared" si="22"/>
        <v>32</v>
      </c>
      <c r="AW31" s="101">
        <v>32</v>
      </c>
      <c r="AX31" s="101"/>
      <c r="AY31" s="310">
        <f t="shared" si="28"/>
        <v>1.103448275862069</v>
      </c>
      <c r="AZ31" s="310"/>
      <c r="BA31" s="310">
        <f t="shared" si="28"/>
        <v>1.103448275862069</v>
      </c>
      <c r="BB31" s="310"/>
      <c r="BC31" s="310"/>
      <c r="BD31" s="310"/>
      <c r="BE31" s="310"/>
      <c r="BF31" s="310"/>
      <c r="BG31" s="310"/>
      <c r="BH31" s="310"/>
      <c r="BI31" s="310"/>
      <c r="BJ31" s="310"/>
      <c r="BK31" s="310"/>
      <c r="BL31" s="310"/>
      <c r="BM31" s="310"/>
      <c r="BN31" s="310"/>
      <c r="BO31" s="310"/>
      <c r="BQ31" s="303"/>
    </row>
    <row r="32" spans="1:69" x14ac:dyDescent="0.25">
      <c r="A32" s="123">
        <v>19</v>
      </c>
      <c r="B32" s="124" t="s">
        <v>562</v>
      </c>
      <c r="C32" s="100">
        <f t="shared" si="3"/>
        <v>51454</v>
      </c>
      <c r="D32" s="101">
        <f t="shared" si="24"/>
        <v>42433</v>
      </c>
      <c r="E32" s="101">
        <f t="shared" si="25"/>
        <v>9021</v>
      </c>
      <c r="F32" s="101">
        <f t="shared" si="4"/>
        <v>718</v>
      </c>
      <c r="G32" s="101">
        <f t="shared" si="5"/>
        <v>0</v>
      </c>
      <c r="H32" s="101"/>
      <c r="I32" s="101"/>
      <c r="J32" s="101">
        <f t="shared" si="6"/>
        <v>718</v>
      </c>
      <c r="K32" s="101">
        <v>718</v>
      </c>
      <c r="L32" s="101"/>
      <c r="M32" s="101">
        <f t="shared" si="7"/>
        <v>31594</v>
      </c>
      <c r="N32" s="101">
        <f t="shared" si="8"/>
        <v>31594</v>
      </c>
      <c r="O32" s="101">
        <v>31594</v>
      </c>
      <c r="P32" s="101"/>
      <c r="Q32" s="101">
        <f t="shared" si="9"/>
        <v>0</v>
      </c>
      <c r="R32" s="101"/>
      <c r="S32" s="101"/>
      <c r="T32" s="101">
        <f t="shared" si="10"/>
        <v>19142</v>
      </c>
      <c r="U32" s="101">
        <f t="shared" si="11"/>
        <v>10839</v>
      </c>
      <c r="V32" s="101">
        <v>10839</v>
      </c>
      <c r="W32" s="101"/>
      <c r="X32" s="101">
        <f t="shared" si="12"/>
        <v>8303</v>
      </c>
      <c r="Y32" s="101">
        <v>8303</v>
      </c>
      <c r="Z32" s="101"/>
      <c r="AA32" s="308">
        <f t="shared" si="13"/>
        <v>9585.5432519999995</v>
      </c>
      <c r="AB32" s="149">
        <f t="shared" si="26"/>
        <v>160.89564100000001</v>
      </c>
      <c r="AC32" s="149">
        <f t="shared" si="27"/>
        <v>9424.6476110000003</v>
      </c>
      <c r="AD32" s="149">
        <f t="shared" si="14"/>
        <v>681.76468</v>
      </c>
      <c r="AE32" s="101">
        <f t="shared" si="15"/>
        <v>0</v>
      </c>
      <c r="AF32" s="101"/>
      <c r="AG32" s="101"/>
      <c r="AH32" s="101">
        <f t="shared" si="16"/>
        <v>681.76468</v>
      </c>
      <c r="AI32" s="101">
        <v>681.76468</v>
      </c>
      <c r="AJ32" s="101"/>
      <c r="AK32" s="101">
        <f t="shared" si="17"/>
        <v>0</v>
      </c>
      <c r="AL32" s="101">
        <f t="shared" si="18"/>
        <v>0</v>
      </c>
      <c r="AM32" s="309"/>
      <c r="AN32" s="101"/>
      <c r="AO32" s="101">
        <f t="shared" si="19"/>
        <v>0</v>
      </c>
      <c r="AP32" s="101"/>
      <c r="AQ32" s="101"/>
      <c r="AR32" s="101">
        <f t="shared" si="20"/>
        <v>8903.7785719999993</v>
      </c>
      <c r="AS32" s="101">
        <f t="shared" si="21"/>
        <v>160.89564100000001</v>
      </c>
      <c r="AT32" s="309">
        <v>160.89564100000001</v>
      </c>
      <c r="AU32" s="101"/>
      <c r="AV32" s="101">
        <f t="shared" si="22"/>
        <v>8742.8829310000001</v>
      </c>
      <c r="AW32" s="101">
        <v>8742.8829310000001</v>
      </c>
      <c r="AX32" s="101"/>
      <c r="AY32" s="310">
        <f t="shared" si="28"/>
        <v>0.18629345147121701</v>
      </c>
      <c r="AZ32" s="310">
        <f t="shared" si="28"/>
        <v>3.7917573822260978E-3</v>
      </c>
      <c r="BA32" s="310">
        <f t="shared" si="28"/>
        <v>1.0447453287883828</v>
      </c>
      <c r="BB32" s="310">
        <f t="shared" si="28"/>
        <v>0.94953298050139279</v>
      </c>
      <c r="BC32" s="310"/>
      <c r="BD32" s="310"/>
      <c r="BE32" s="310"/>
      <c r="BF32" s="310">
        <f t="shared" si="28"/>
        <v>0.94953298050139279</v>
      </c>
      <c r="BG32" s="310">
        <f t="shared" si="28"/>
        <v>0.94953298050139279</v>
      </c>
      <c r="BH32" s="310"/>
      <c r="BI32" s="310">
        <f t="shared" si="28"/>
        <v>0</v>
      </c>
      <c r="BJ32" s="310">
        <f t="shared" si="28"/>
        <v>0</v>
      </c>
      <c r="BK32" s="310">
        <f t="shared" si="28"/>
        <v>0</v>
      </c>
      <c r="BL32" s="310"/>
      <c r="BM32" s="310"/>
      <c r="BN32" s="310"/>
      <c r="BO32" s="310"/>
      <c r="BQ32" s="303"/>
    </row>
    <row r="33" spans="1:69" x14ac:dyDescent="0.25">
      <c r="A33" s="123">
        <v>20</v>
      </c>
      <c r="B33" s="124" t="s">
        <v>621</v>
      </c>
      <c r="C33" s="100">
        <f t="shared" si="3"/>
        <v>123</v>
      </c>
      <c r="D33" s="101">
        <f t="shared" si="24"/>
        <v>0</v>
      </c>
      <c r="E33" s="101">
        <f t="shared" si="25"/>
        <v>123</v>
      </c>
      <c r="F33" s="101">
        <f t="shared" si="4"/>
        <v>0</v>
      </c>
      <c r="G33" s="101">
        <f t="shared" si="5"/>
        <v>0</v>
      </c>
      <c r="H33" s="101"/>
      <c r="I33" s="101"/>
      <c r="J33" s="101">
        <f t="shared" si="6"/>
        <v>0</v>
      </c>
      <c r="K33" s="101"/>
      <c r="L33" s="101"/>
      <c r="M33" s="101">
        <f t="shared" si="7"/>
        <v>0</v>
      </c>
      <c r="N33" s="101">
        <f t="shared" si="8"/>
        <v>0</v>
      </c>
      <c r="O33" s="101"/>
      <c r="P33" s="101"/>
      <c r="Q33" s="101">
        <f t="shared" si="9"/>
        <v>0</v>
      </c>
      <c r="R33" s="101"/>
      <c r="S33" s="101"/>
      <c r="T33" s="101">
        <f t="shared" si="10"/>
        <v>123</v>
      </c>
      <c r="U33" s="101">
        <f t="shared" si="11"/>
        <v>0</v>
      </c>
      <c r="V33" s="101">
        <v>0</v>
      </c>
      <c r="W33" s="101"/>
      <c r="X33" s="101">
        <f t="shared" si="12"/>
        <v>123</v>
      </c>
      <c r="Y33" s="101">
        <v>123</v>
      </c>
      <c r="Z33" s="101"/>
      <c r="AA33" s="308">
        <f t="shared" si="13"/>
        <v>105.82</v>
      </c>
      <c r="AB33" s="149">
        <f t="shared" si="26"/>
        <v>0</v>
      </c>
      <c r="AC33" s="149">
        <f t="shared" si="27"/>
        <v>105.82</v>
      </c>
      <c r="AD33" s="149">
        <f t="shared" si="14"/>
        <v>0</v>
      </c>
      <c r="AE33" s="101">
        <f t="shared" si="15"/>
        <v>0</v>
      </c>
      <c r="AF33" s="101"/>
      <c r="AG33" s="101"/>
      <c r="AH33" s="101">
        <f t="shared" si="16"/>
        <v>0</v>
      </c>
      <c r="AI33" s="101"/>
      <c r="AJ33" s="101"/>
      <c r="AK33" s="101">
        <f t="shared" si="17"/>
        <v>0</v>
      </c>
      <c r="AL33" s="101">
        <f t="shared" si="18"/>
        <v>0</v>
      </c>
      <c r="AM33" s="309"/>
      <c r="AN33" s="101"/>
      <c r="AO33" s="101">
        <f t="shared" si="19"/>
        <v>0</v>
      </c>
      <c r="AP33" s="101"/>
      <c r="AQ33" s="101"/>
      <c r="AR33" s="101">
        <f t="shared" si="20"/>
        <v>105.82</v>
      </c>
      <c r="AS33" s="101">
        <f t="shared" si="21"/>
        <v>0</v>
      </c>
      <c r="AT33" s="309"/>
      <c r="AU33" s="101"/>
      <c r="AV33" s="101">
        <f t="shared" si="22"/>
        <v>105.82</v>
      </c>
      <c r="AW33" s="101">
        <v>105.82</v>
      </c>
      <c r="AX33" s="101"/>
      <c r="AY33" s="310">
        <f t="shared" si="28"/>
        <v>0.86032520325203243</v>
      </c>
      <c r="AZ33" s="310"/>
      <c r="BA33" s="310">
        <f t="shared" si="28"/>
        <v>0.86032520325203243</v>
      </c>
      <c r="BB33" s="310"/>
      <c r="BC33" s="310"/>
      <c r="BD33" s="310"/>
      <c r="BE33" s="310"/>
      <c r="BF33" s="310"/>
      <c r="BG33" s="310"/>
      <c r="BH33" s="310"/>
      <c r="BI33" s="310"/>
      <c r="BJ33" s="310"/>
      <c r="BK33" s="310"/>
      <c r="BL33" s="310"/>
      <c r="BM33" s="310"/>
      <c r="BN33" s="310"/>
      <c r="BO33" s="310"/>
      <c r="BQ33" s="303"/>
    </row>
    <row r="34" spans="1:69" x14ac:dyDescent="0.25">
      <c r="A34" s="123">
        <v>21</v>
      </c>
      <c r="B34" s="124" t="s">
        <v>622</v>
      </c>
      <c r="C34" s="100">
        <f t="shared" si="3"/>
        <v>29</v>
      </c>
      <c r="D34" s="101">
        <f t="shared" si="24"/>
        <v>0</v>
      </c>
      <c r="E34" s="101">
        <f t="shared" si="25"/>
        <v>29</v>
      </c>
      <c r="F34" s="101">
        <f t="shared" si="4"/>
        <v>0</v>
      </c>
      <c r="G34" s="101">
        <f t="shared" si="5"/>
        <v>0</v>
      </c>
      <c r="H34" s="101"/>
      <c r="I34" s="101"/>
      <c r="J34" s="101">
        <f t="shared" si="6"/>
        <v>0</v>
      </c>
      <c r="K34" s="101"/>
      <c r="L34" s="101"/>
      <c r="M34" s="101">
        <f t="shared" si="7"/>
        <v>0</v>
      </c>
      <c r="N34" s="101">
        <f t="shared" si="8"/>
        <v>0</v>
      </c>
      <c r="O34" s="101"/>
      <c r="P34" s="101"/>
      <c r="Q34" s="101">
        <f t="shared" si="9"/>
        <v>0</v>
      </c>
      <c r="R34" s="101"/>
      <c r="S34" s="101"/>
      <c r="T34" s="101">
        <f t="shared" si="10"/>
        <v>29</v>
      </c>
      <c r="U34" s="101">
        <f t="shared" si="11"/>
        <v>0</v>
      </c>
      <c r="V34" s="101">
        <v>0</v>
      </c>
      <c r="W34" s="101"/>
      <c r="X34" s="101">
        <f t="shared" si="12"/>
        <v>29</v>
      </c>
      <c r="Y34" s="101">
        <v>29</v>
      </c>
      <c r="Z34" s="101"/>
      <c r="AA34" s="308">
        <f t="shared" si="13"/>
        <v>20.9</v>
      </c>
      <c r="AB34" s="149">
        <f t="shared" si="26"/>
        <v>0</v>
      </c>
      <c r="AC34" s="149">
        <f t="shared" si="27"/>
        <v>20.9</v>
      </c>
      <c r="AD34" s="149">
        <f t="shared" si="14"/>
        <v>0</v>
      </c>
      <c r="AE34" s="101">
        <f t="shared" si="15"/>
        <v>0</v>
      </c>
      <c r="AF34" s="101"/>
      <c r="AG34" s="101"/>
      <c r="AH34" s="101">
        <f t="shared" si="16"/>
        <v>0</v>
      </c>
      <c r="AI34" s="101"/>
      <c r="AJ34" s="101"/>
      <c r="AK34" s="101">
        <f t="shared" si="17"/>
        <v>0</v>
      </c>
      <c r="AL34" s="101">
        <f t="shared" si="18"/>
        <v>0</v>
      </c>
      <c r="AM34" s="309"/>
      <c r="AN34" s="101"/>
      <c r="AO34" s="101">
        <f t="shared" si="19"/>
        <v>0</v>
      </c>
      <c r="AP34" s="101"/>
      <c r="AQ34" s="101"/>
      <c r="AR34" s="101">
        <f t="shared" si="20"/>
        <v>20.9</v>
      </c>
      <c r="AS34" s="101">
        <f t="shared" si="21"/>
        <v>0</v>
      </c>
      <c r="AT34" s="309"/>
      <c r="AU34" s="101"/>
      <c r="AV34" s="101">
        <f t="shared" si="22"/>
        <v>20.9</v>
      </c>
      <c r="AW34" s="101">
        <v>20.9</v>
      </c>
      <c r="AX34" s="101"/>
      <c r="AY34" s="310">
        <f t="shared" si="28"/>
        <v>0.72068965517241379</v>
      </c>
      <c r="AZ34" s="310"/>
      <c r="BA34" s="310">
        <f t="shared" si="28"/>
        <v>0.72068965517241379</v>
      </c>
      <c r="BB34" s="310"/>
      <c r="BC34" s="310"/>
      <c r="BD34" s="310"/>
      <c r="BE34" s="310"/>
      <c r="BF34" s="310"/>
      <c r="BG34" s="310"/>
      <c r="BH34" s="310"/>
      <c r="BI34" s="310"/>
      <c r="BJ34" s="310"/>
      <c r="BK34" s="310"/>
      <c r="BL34" s="310"/>
      <c r="BM34" s="310"/>
      <c r="BN34" s="310"/>
      <c r="BO34" s="310"/>
      <c r="BQ34" s="303"/>
    </row>
    <row r="35" spans="1:69" ht="29.25" customHeight="1" x14ac:dyDescent="0.25">
      <c r="A35" s="123">
        <v>22</v>
      </c>
      <c r="B35" s="124" t="s">
        <v>623</v>
      </c>
      <c r="C35" s="100">
        <f t="shared" si="3"/>
        <v>29</v>
      </c>
      <c r="D35" s="101">
        <f t="shared" si="24"/>
        <v>0</v>
      </c>
      <c r="E35" s="101">
        <f t="shared" si="25"/>
        <v>29</v>
      </c>
      <c r="F35" s="101">
        <f t="shared" si="4"/>
        <v>0</v>
      </c>
      <c r="G35" s="101">
        <f t="shared" si="5"/>
        <v>0</v>
      </c>
      <c r="H35" s="101"/>
      <c r="I35" s="101"/>
      <c r="J35" s="101">
        <f t="shared" si="6"/>
        <v>0</v>
      </c>
      <c r="K35" s="101"/>
      <c r="L35" s="101"/>
      <c r="M35" s="101">
        <f t="shared" si="7"/>
        <v>0</v>
      </c>
      <c r="N35" s="101">
        <f t="shared" si="8"/>
        <v>0</v>
      </c>
      <c r="O35" s="101"/>
      <c r="P35" s="101"/>
      <c r="Q35" s="101">
        <f t="shared" si="9"/>
        <v>0</v>
      </c>
      <c r="R35" s="101"/>
      <c r="S35" s="101"/>
      <c r="T35" s="101">
        <f t="shared" si="10"/>
        <v>29</v>
      </c>
      <c r="U35" s="101">
        <f t="shared" si="11"/>
        <v>0</v>
      </c>
      <c r="V35" s="101">
        <v>0</v>
      </c>
      <c r="W35" s="101"/>
      <c r="X35" s="101">
        <f t="shared" si="12"/>
        <v>29</v>
      </c>
      <c r="Y35" s="101">
        <v>29</v>
      </c>
      <c r="Z35" s="101"/>
      <c r="AA35" s="308">
        <f t="shared" si="13"/>
        <v>0</v>
      </c>
      <c r="AB35" s="149">
        <f t="shared" si="26"/>
        <v>0</v>
      </c>
      <c r="AC35" s="149">
        <f t="shared" si="27"/>
        <v>0</v>
      </c>
      <c r="AD35" s="149">
        <f t="shared" si="14"/>
        <v>0</v>
      </c>
      <c r="AE35" s="101">
        <f t="shared" si="15"/>
        <v>0</v>
      </c>
      <c r="AF35" s="101"/>
      <c r="AG35" s="101"/>
      <c r="AH35" s="101">
        <f t="shared" si="16"/>
        <v>0</v>
      </c>
      <c r="AI35" s="101"/>
      <c r="AJ35" s="101"/>
      <c r="AK35" s="101">
        <f t="shared" si="17"/>
        <v>0</v>
      </c>
      <c r="AL35" s="101">
        <f t="shared" si="18"/>
        <v>0</v>
      </c>
      <c r="AM35" s="309"/>
      <c r="AN35" s="101"/>
      <c r="AO35" s="101">
        <f t="shared" si="19"/>
        <v>0</v>
      </c>
      <c r="AP35" s="101"/>
      <c r="AQ35" s="101"/>
      <c r="AR35" s="101">
        <f t="shared" si="20"/>
        <v>0</v>
      </c>
      <c r="AS35" s="101">
        <f t="shared" si="21"/>
        <v>0</v>
      </c>
      <c r="AT35" s="309"/>
      <c r="AU35" s="101"/>
      <c r="AV35" s="101">
        <f t="shared" si="22"/>
        <v>0</v>
      </c>
      <c r="AW35" s="101">
        <v>0</v>
      </c>
      <c r="AX35" s="101"/>
      <c r="AY35" s="310">
        <f t="shared" si="28"/>
        <v>0</v>
      </c>
      <c r="AZ35" s="310"/>
      <c r="BA35" s="310">
        <f t="shared" si="28"/>
        <v>0</v>
      </c>
      <c r="BB35" s="310"/>
      <c r="BC35" s="310"/>
      <c r="BD35" s="310"/>
      <c r="BE35" s="310"/>
      <c r="BF35" s="310"/>
      <c r="BG35" s="310"/>
      <c r="BH35" s="310"/>
      <c r="BI35" s="310"/>
      <c r="BJ35" s="310"/>
      <c r="BK35" s="310"/>
      <c r="BL35" s="310"/>
      <c r="BM35" s="310"/>
      <c r="BN35" s="310"/>
      <c r="BO35" s="310"/>
      <c r="BQ35" s="303"/>
    </row>
    <row r="36" spans="1:69" ht="25.5" x14ac:dyDescent="0.25">
      <c r="A36" s="123">
        <v>23</v>
      </c>
      <c r="B36" s="124" t="s">
        <v>624</v>
      </c>
      <c r="C36" s="100">
        <f t="shared" si="3"/>
        <v>9657</v>
      </c>
      <c r="D36" s="101">
        <f t="shared" si="24"/>
        <v>0</v>
      </c>
      <c r="E36" s="101">
        <f t="shared" si="25"/>
        <v>9657</v>
      </c>
      <c r="F36" s="101">
        <f t="shared" si="4"/>
        <v>0</v>
      </c>
      <c r="G36" s="101">
        <f t="shared" si="5"/>
        <v>0</v>
      </c>
      <c r="H36" s="101"/>
      <c r="I36" s="101"/>
      <c r="J36" s="101">
        <f t="shared" si="6"/>
        <v>0</v>
      </c>
      <c r="K36" s="101"/>
      <c r="L36" s="101"/>
      <c r="M36" s="101">
        <f t="shared" si="7"/>
        <v>0</v>
      </c>
      <c r="N36" s="101">
        <f t="shared" si="8"/>
        <v>0</v>
      </c>
      <c r="O36" s="101"/>
      <c r="P36" s="101"/>
      <c r="Q36" s="101">
        <f t="shared" si="9"/>
        <v>0</v>
      </c>
      <c r="R36" s="101"/>
      <c r="S36" s="101"/>
      <c r="T36" s="101">
        <f t="shared" si="10"/>
        <v>9657</v>
      </c>
      <c r="U36" s="101">
        <f t="shared" si="11"/>
        <v>0</v>
      </c>
      <c r="V36" s="101"/>
      <c r="W36" s="101"/>
      <c r="X36" s="101">
        <f t="shared" si="12"/>
        <v>9657</v>
      </c>
      <c r="Y36" s="101">
        <f>6687+2970</f>
        <v>9657</v>
      </c>
      <c r="Z36" s="101"/>
      <c r="AA36" s="308">
        <f t="shared" si="13"/>
        <v>6220.326</v>
      </c>
      <c r="AB36" s="149">
        <f t="shared" si="26"/>
        <v>0</v>
      </c>
      <c r="AC36" s="149">
        <f t="shared" si="27"/>
        <v>6220.326</v>
      </c>
      <c r="AD36" s="149">
        <f t="shared" si="14"/>
        <v>0</v>
      </c>
      <c r="AE36" s="101">
        <f t="shared" si="15"/>
        <v>0</v>
      </c>
      <c r="AF36" s="101"/>
      <c r="AG36" s="101"/>
      <c r="AH36" s="101">
        <f t="shared" si="16"/>
        <v>0</v>
      </c>
      <c r="AI36" s="101"/>
      <c r="AJ36" s="101"/>
      <c r="AK36" s="101">
        <f t="shared" si="17"/>
        <v>0</v>
      </c>
      <c r="AL36" s="101">
        <f t="shared" si="18"/>
        <v>0</v>
      </c>
      <c r="AM36" s="309"/>
      <c r="AN36" s="101"/>
      <c r="AO36" s="101">
        <f t="shared" si="19"/>
        <v>0</v>
      </c>
      <c r="AP36" s="101"/>
      <c r="AQ36" s="101"/>
      <c r="AR36" s="101">
        <f t="shared" si="20"/>
        <v>6220.326</v>
      </c>
      <c r="AS36" s="101">
        <f t="shared" si="21"/>
        <v>0</v>
      </c>
      <c r="AT36" s="309"/>
      <c r="AU36" s="101"/>
      <c r="AV36" s="101">
        <f t="shared" si="22"/>
        <v>6220.326</v>
      </c>
      <c r="AW36" s="101">
        <v>6220.326</v>
      </c>
      <c r="AX36" s="101"/>
      <c r="AY36" s="310">
        <f t="shared" si="28"/>
        <v>0.64412612612612608</v>
      </c>
      <c r="AZ36" s="310"/>
      <c r="BA36" s="310">
        <f t="shared" si="28"/>
        <v>0.64412612612612608</v>
      </c>
      <c r="BB36" s="310"/>
      <c r="BC36" s="310"/>
      <c r="BD36" s="310"/>
      <c r="BE36" s="310"/>
      <c r="BF36" s="310"/>
      <c r="BG36" s="310"/>
      <c r="BH36" s="310"/>
      <c r="BI36" s="310"/>
      <c r="BJ36" s="310"/>
      <c r="BK36" s="310"/>
      <c r="BL36" s="310"/>
      <c r="BM36" s="310"/>
      <c r="BN36" s="310"/>
      <c r="BO36" s="310"/>
      <c r="BQ36" s="303"/>
    </row>
    <row r="37" spans="1:69" ht="25.5" x14ac:dyDescent="0.25">
      <c r="A37" s="123">
        <v>24</v>
      </c>
      <c r="B37" s="124" t="s">
        <v>625</v>
      </c>
      <c r="C37" s="100">
        <f t="shared" si="3"/>
        <v>1689</v>
      </c>
      <c r="D37" s="101">
        <f t="shared" si="24"/>
        <v>0</v>
      </c>
      <c r="E37" s="101">
        <f t="shared" si="25"/>
        <v>1689</v>
      </c>
      <c r="F37" s="101">
        <f t="shared" si="4"/>
        <v>0</v>
      </c>
      <c r="G37" s="101">
        <f t="shared" si="5"/>
        <v>0</v>
      </c>
      <c r="H37" s="101"/>
      <c r="I37" s="101"/>
      <c r="J37" s="101">
        <f t="shared" si="6"/>
        <v>0</v>
      </c>
      <c r="K37" s="101"/>
      <c r="L37" s="101"/>
      <c r="M37" s="101">
        <f t="shared" si="7"/>
        <v>0</v>
      </c>
      <c r="N37" s="101">
        <f t="shared" si="8"/>
        <v>0</v>
      </c>
      <c r="O37" s="101"/>
      <c r="P37" s="101"/>
      <c r="Q37" s="101">
        <f t="shared" si="9"/>
        <v>0</v>
      </c>
      <c r="R37" s="101"/>
      <c r="S37" s="101"/>
      <c r="T37" s="101">
        <f t="shared" si="10"/>
        <v>1689</v>
      </c>
      <c r="U37" s="101">
        <f t="shared" si="11"/>
        <v>0</v>
      </c>
      <c r="V37" s="101"/>
      <c r="W37" s="101"/>
      <c r="X37" s="101">
        <f t="shared" si="12"/>
        <v>1689</v>
      </c>
      <c r="Y37" s="101">
        <f>976+713</f>
        <v>1689</v>
      </c>
      <c r="Z37" s="101"/>
      <c r="AA37" s="308">
        <f t="shared" si="13"/>
        <v>751.404</v>
      </c>
      <c r="AB37" s="149">
        <f t="shared" si="26"/>
        <v>0</v>
      </c>
      <c r="AC37" s="149">
        <f t="shared" si="27"/>
        <v>751.404</v>
      </c>
      <c r="AD37" s="149">
        <f t="shared" si="14"/>
        <v>0</v>
      </c>
      <c r="AE37" s="101">
        <f t="shared" si="15"/>
        <v>0</v>
      </c>
      <c r="AF37" s="101"/>
      <c r="AG37" s="101"/>
      <c r="AH37" s="101">
        <f t="shared" si="16"/>
        <v>0</v>
      </c>
      <c r="AI37" s="101"/>
      <c r="AJ37" s="101"/>
      <c r="AK37" s="101">
        <f t="shared" si="17"/>
        <v>0</v>
      </c>
      <c r="AL37" s="101">
        <f t="shared" si="18"/>
        <v>0</v>
      </c>
      <c r="AM37" s="309"/>
      <c r="AN37" s="101"/>
      <c r="AO37" s="101">
        <f t="shared" si="19"/>
        <v>0</v>
      </c>
      <c r="AP37" s="101"/>
      <c r="AQ37" s="101"/>
      <c r="AR37" s="101">
        <f t="shared" si="20"/>
        <v>751.404</v>
      </c>
      <c r="AS37" s="101">
        <f t="shared" si="21"/>
        <v>0</v>
      </c>
      <c r="AT37" s="309"/>
      <c r="AU37" s="101"/>
      <c r="AV37" s="101">
        <f t="shared" si="22"/>
        <v>751.404</v>
      </c>
      <c r="AW37" s="101">
        <v>751.404</v>
      </c>
      <c r="AX37" s="101"/>
      <c r="AY37" s="310">
        <f t="shared" si="28"/>
        <v>0.44488099467140318</v>
      </c>
      <c r="AZ37" s="310"/>
      <c r="BA37" s="310">
        <f t="shared" si="28"/>
        <v>0.44488099467140318</v>
      </c>
      <c r="BB37" s="310"/>
      <c r="BC37" s="310"/>
      <c r="BD37" s="310"/>
      <c r="BE37" s="310"/>
      <c r="BF37" s="310"/>
      <c r="BG37" s="310"/>
      <c r="BH37" s="310"/>
      <c r="BI37" s="310"/>
      <c r="BJ37" s="310"/>
      <c r="BK37" s="310"/>
      <c r="BL37" s="310"/>
      <c r="BM37" s="310"/>
      <c r="BN37" s="310"/>
      <c r="BO37" s="310"/>
      <c r="BQ37" s="303"/>
    </row>
    <row r="38" spans="1:69" ht="25.5" x14ac:dyDescent="0.25">
      <c r="A38" s="123">
        <v>25</v>
      </c>
      <c r="B38" s="124" t="s">
        <v>590</v>
      </c>
      <c r="C38" s="100">
        <f t="shared" si="3"/>
        <v>1591</v>
      </c>
      <c r="D38" s="101">
        <f t="shared" si="24"/>
        <v>0</v>
      </c>
      <c r="E38" s="101">
        <f t="shared" si="25"/>
        <v>1591</v>
      </c>
      <c r="F38" s="101">
        <f t="shared" si="4"/>
        <v>0</v>
      </c>
      <c r="G38" s="101">
        <f t="shared" si="5"/>
        <v>0</v>
      </c>
      <c r="H38" s="101"/>
      <c r="I38" s="101"/>
      <c r="J38" s="101">
        <f t="shared" si="6"/>
        <v>0</v>
      </c>
      <c r="K38" s="101"/>
      <c r="L38" s="101"/>
      <c r="M38" s="101">
        <f t="shared" si="7"/>
        <v>0</v>
      </c>
      <c r="N38" s="101">
        <f t="shared" si="8"/>
        <v>0</v>
      </c>
      <c r="O38" s="101"/>
      <c r="P38" s="101"/>
      <c r="Q38" s="101">
        <f t="shared" si="9"/>
        <v>0</v>
      </c>
      <c r="R38" s="101"/>
      <c r="S38" s="101"/>
      <c r="T38" s="101">
        <f t="shared" si="10"/>
        <v>1591</v>
      </c>
      <c r="U38" s="101">
        <f t="shared" si="11"/>
        <v>0</v>
      </c>
      <c r="V38" s="101"/>
      <c r="W38" s="101"/>
      <c r="X38" s="101">
        <f t="shared" si="12"/>
        <v>1591</v>
      </c>
      <c r="Y38" s="101">
        <v>1591</v>
      </c>
      <c r="Z38" s="101"/>
      <c r="AA38" s="308">
        <f t="shared" si="13"/>
        <v>414.26900000000001</v>
      </c>
      <c r="AB38" s="149">
        <f t="shared" si="26"/>
        <v>0</v>
      </c>
      <c r="AC38" s="149">
        <f t="shared" si="27"/>
        <v>414.26900000000001</v>
      </c>
      <c r="AD38" s="149">
        <f t="shared" si="14"/>
        <v>0</v>
      </c>
      <c r="AE38" s="101">
        <f t="shared" si="15"/>
        <v>0</v>
      </c>
      <c r="AF38" s="101"/>
      <c r="AG38" s="101"/>
      <c r="AH38" s="101">
        <f t="shared" si="16"/>
        <v>0</v>
      </c>
      <c r="AI38" s="101"/>
      <c r="AJ38" s="101"/>
      <c r="AK38" s="101">
        <f t="shared" si="17"/>
        <v>0</v>
      </c>
      <c r="AL38" s="101">
        <f t="shared" si="18"/>
        <v>0</v>
      </c>
      <c r="AM38" s="309"/>
      <c r="AN38" s="101"/>
      <c r="AO38" s="101">
        <f t="shared" si="19"/>
        <v>0</v>
      </c>
      <c r="AP38" s="101"/>
      <c r="AQ38" s="101"/>
      <c r="AR38" s="101">
        <f t="shared" si="20"/>
        <v>414.26900000000001</v>
      </c>
      <c r="AS38" s="101">
        <f t="shared" si="21"/>
        <v>0</v>
      </c>
      <c r="AT38" s="309"/>
      <c r="AU38" s="101"/>
      <c r="AV38" s="101">
        <f t="shared" si="22"/>
        <v>414.26900000000001</v>
      </c>
      <c r="AW38" s="101">
        <v>414.26900000000001</v>
      </c>
      <c r="AX38" s="101"/>
      <c r="AY38" s="310">
        <f t="shared" si="28"/>
        <v>0.2603827781269642</v>
      </c>
      <c r="AZ38" s="310"/>
      <c r="BA38" s="310">
        <f t="shared" si="28"/>
        <v>0.2603827781269642</v>
      </c>
      <c r="BB38" s="310"/>
      <c r="BC38" s="310"/>
      <c r="BD38" s="310"/>
      <c r="BE38" s="310"/>
      <c r="BF38" s="310"/>
      <c r="BG38" s="310"/>
      <c r="BH38" s="310"/>
      <c r="BI38" s="310"/>
      <c r="BJ38" s="310"/>
      <c r="BK38" s="310"/>
      <c r="BL38" s="310"/>
      <c r="BM38" s="310"/>
      <c r="BN38" s="310"/>
      <c r="BO38" s="310"/>
      <c r="BQ38" s="303"/>
    </row>
    <row r="39" spans="1:69" x14ac:dyDescent="0.25">
      <c r="A39" s="123">
        <v>26</v>
      </c>
      <c r="B39" s="124" t="s">
        <v>538</v>
      </c>
      <c r="C39" s="100">
        <v>1143</v>
      </c>
      <c r="D39" s="100">
        <v>0</v>
      </c>
      <c r="E39" s="100">
        <v>1143</v>
      </c>
      <c r="F39" s="100">
        <v>0</v>
      </c>
      <c r="G39" s="100">
        <v>0</v>
      </c>
      <c r="H39" s="100">
        <v>0</v>
      </c>
      <c r="I39" s="100">
        <v>0</v>
      </c>
      <c r="J39" s="100">
        <v>0</v>
      </c>
      <c r="K39" s="100">
        <v>0</v>
      </c>
      <c r="L39" s="100">
        <v>0</v>
      </c>
      <c r="M39" s="100">
        <v>200</v>
      </c>
      <c r="N39" s="100">
        <v>0</v>
      </c>
      <c r="O39" s="100">
        <v>0</v>
      </c>
      <c r="P39" s="100">
        <v>0</v>
      </c>
      <c r="Q39" s="100">
        <v>200</v>
      </c>
      <c r="R39" s="100">
        <v>200</v>
      </c>
      <c r="S39" s="100">
        <v>0</v>
      </c>
      <c r="T39" s="100">
        <v>943</v>
      </c>
      <c r="U39" s="100">
        <v>0</v>
      </c>
      <c r="V39" s="100">
        <v>0</v>
      </c>
      <c r="W39" s="100">
        <v>0</v>
      </c>
      <c r="X39" s="100">
        <v>943</v>
      </c>
      <c r="Y39" s="100">
        <v>943</v>
      </c>
      <c r="Z39" s="100">
        <v>0</v>
      </c>
      <c r="AA39" s="100">
        <v>1438</v>
      </c>
      <c r="AB39" s="100">
        <v>0</v>
      </c>
      <c r="AC39" s="100">
        <v>1438</v>
      </c>
      <c r="AD39" s="100">
        <v>0</v>
      </c>
      <c r="AE39" s="100">
        <v>0</v>
      </c>
      <c r="AF39" s="100">
        <v>0</v>
      </c>
      <c r="AG39" s="100">
        <v>0</v>
      </c>
      <c r="AH39" s="100">
        <v>0</v>
      </c>
      <c r="AI39" s="100">
        <v>0</v>
      </c>
      <c r="AJ39" s="100">
        <v>0</v>
      </c>
      <c r="AK39" s="100">
        <v>400</v>
      </c>
      <c r="AL39" s="100">
        <v>0</v>
      </c>
      <c r="AM39" s="100">
        <v>0</v>
      </c>
      <c r="AN39" s="100">
        <v>0</v>
      </c>
      <c r="AO39" s="100">
        <v>400</v>
      </c>
      <c r="AP39" s="100">
        <v>400</v>
      </c>
      <c r="AQ39" s="100">
        <v>0</v>
      </c>
      <c r="AR39" s="100">
        <v>1038</v>
      </c>
      <c r="AS39" s="100">
        <v>0</v>
      </c>
      <c r="AT39" s="100">
        <v>0</v>
      </c>
      <c r="AU39" s="100">
        <v>0</v>
      </c>
      <c r="AV39" s="100">
        <v>1038</v>
      </c>
      <c r="AW39" s="100">
        <v>1038</v>
      </c>
      <c r="AX39" s="100">
        <v>0</v>
      </c>
      <c r="AY39" s="310">
        <f>AA39/C39</f>
        <v>1.258092738407699</v>
      </c>
      <c r="AZ39" s="310"/>
      <c r="BA39" s="310">
        <f t="shared" si="28"/>
        <v>1.258092738407699</v>
      </c>
      <c r="BB39" s="310"/>
      <c r="BC39" s="310"/>
      <c r="BD39" s="310"/>
      <c r="BE39" s="310"/>
      <c r="BF39" s="310"/>
      <c r="BG39" s="310"/>
      <c r="BH39" s="310"/>
      <c r="BI39" s="310">
        <f t="shared" ref="BI39" si="29">AK39/M39</f>
        <v>2</v>
      </c>
      <c r="BJ39" s="310"/>
      <c r="BK39" s="310"/>
      <c r="BL39" s="310"/>
      <c r="BM39" s="310">
        <f t="shared" ref="BM39" si="30">AO39/Q39</f>
        <v>2</v>
      </c>
      <c r="BN39" s="310">
        <f t="shared" ref="BN39" si="31">AP39/R39</f>
        <v>2</v>
      </c>
      <c r="BO39" s="310"/>
      <c r="BQ39" s="303"/>
    </row>
    <row r="40" spans="1:69" x14ac:dyDescent="0.25">
      <c r="A40" s="123">
        <v>27</v>
      </c>
      <c r="B40" s="124" t="s">
        <v>422</v>
      </c>
      <c r="C40" s="100">
        <f t="shared" si="3"/>
        <v>0</v>
      </c>
      <c r="D40" s="101">
        <f t="shared" si="24"/>
        <v>0</v>
      </c>
      <c r="E40" s="101">
        <f t="shared" si="25"/>
        <v>0</v>
      </c>
      <c r="F40" s="101">
        <f t="shared" si="4"/>
        <v>0</v>
      </c>
      <c r="G40" s="101">
        <f t="shared" si="5"/>
        <v>0</v>
      </c>
      <c r="H40" s="101"/>
      <c r="I40" s="101"/>
      <c r="J40" s="101">
        <f t="shared" si="6"/>
        <v>0</v>
      </c>
      <c r="K40" s="101"/>
      <c r="L40" s="101"/>
      <c r="M40" s="101">
        <f t="shared" si="7"/>
        <v>0</v>
      </c>
      <c r="N40" s="101">
        <f t="shared" si="8"/>
        <v>0</v>
      </c>
      <c r="O40" s="101">
        <v>0</v>
      </c>
      <c r="P40" s="101"/>
      <c r="Q40" s="101">
        <f t="shared" si="9"/>
        <v>0</v>
      </c>
      <c r="R40" s="101"/>
      <c r="S40" s="101"/>
      <c r="T40" s="101">
        <f t="shared" si="10"/>
        <v>0</v>
      </c>
      <c r="U40" s="101">
        <f t="shared" si="11"/>
        <v>0</v>
      </c>
      <c r="V40" s="101"/>
      <c r="W40" s="101"/>
      <c r="X40" s="101">
        <f t="shared" si="12"/>
        <v>0</v>
      </c>
      <c r="Y40" s="101"/>
      <c r="Z40" s="101"/>
      <c r="AA40" s="308">
        <f t="shared" si="13"/>
        <v>1185.3900000000001</v>
      </c>
      <c r="AB40" s="149">
        <f t="shared" si="26"/>
        <v>1185.3900000000001</v>
      </c>
      <c r="AC40" s="149">
        <f t="shared" si="27"/>
        <v>0</v>
      </c>
      <c r="AD40" s="149">
        <f t="shared" si="14"/>
        <v>1185.3900000000001</v>
      </c>
      <c r="AE40" s="101">
        <f t="shared" si="15"/>
        <v>1185.3900000000001</v>
      </c>
      <c r="AF40" s="101">
        <v>1185.3900000000001</v>
      </c>
      <c r="AG40" s="101"/>
      <c r="AH40" s="101">
        <f t="shared" si="16"/>
        <v>0</v>
      </c>
      <c r="AI40" s="101"/>
      <c r="AJ40" s="101"/>
      <c r="AK40" s="101">
        <f t="shared" si="17"/>
        <v>0</v>
      </c>
      <c r="AL40" s="101">
        <f t="shared" si="18"/>
        <v>0</v>
      </c>
      <c r="AM40" s="309"/>
      <c r="AN40" s="101"/>
      <c r="AO40" s="101">
        <f t="shared" si="19"/>
        <v>0</v>
      </c>
      <c r="AP40" s="101"/>
      <c r="AQ40" s="101"/>
      <c r="AR40" s="101">
        <f t="shared" si="20"/>
        <v>0</v>
      </c>
      <c r="AS40" s="101">
        <f t="shared" si="21"/>
        <v>0</v>
      </c>
      <c r="AT40" s="309"/>
      <c r="AU40" s="101"/>
      <c r="AV40" s="101">
        <f t="shared" si="22"/>
        <v>0</v>
      </c>
      <c r="AW40" s="101"/>
      <c r="AX40" s="101"/>
      <c r="AY40" s="310"/>
      <c r="AZ40" s="310"/>
      <c r="BA40" s="310"/>
      <c r="BB40" s="310"/>
      <c r="BC40" s="310"/>
      <c r="BD40" s="310"/>
      <c r="BE40" s="310"/>
      <c r="BF40" s="310"/>
      <c r="BG40" s="310"/>
      <c r="BH40" s="310"/>
      <c r="BI40" s="310"/>
      <c r="BJ40" s="310"/>
      <c r="BK40" s="310"/>
      <c r="BL40" s="310"/>
      <c r="BM40" s="310"/>
      <c r="BN40" s="310"/>
      <c r="BO40" s="310"/>
      <c r="BQ40" s="303"/>
    </row>
    <row r="41" spans="1:69" s="52" customFormat="1" ht="14.25" x14ac:dyDescent="0.2">
      <c r="A41" s="133" t="s">
        <v>25</v>
      </c>
      <c r="B41" s="311" t="s">
        <v>251</v>
      </c>
      <c r="C41" s="312">
        <f t="shared" ref="C41:AX41" si="32">SUBTOTAL(9,C42:C52)</f>
        <v>1025995</v>
      </c>
      <c r="D41" s="306">
        <f t="shared" si="32"/>
        <v>607353</v>
      </c>
      <c r="E41" s="306">
        <f t="shared" si="32"/>
        <v>418642</v>
      </c>
      <c r="F41" s="306">
        <f t="shared" si="32"/>
        <v>251861</v>
      </c>
      <c r="G41" s="306">
        <f t="shared" si="32"/>
        <v>121436</v>
      </c>
      <c r="H41" s="306">
        <f t="shared" si="32"/>
        <v>121436</v>
      </c>
      <c r="I41" s="306">
        <f t="shared" si="32"/>
        <v>0</v>
      </c>
      <c r="J41" s="306">
        <f t="shared" si="32"/>
        <v>130425</v>
      </c>
      <c r="K41" s="306">
        <f t="shared" si="32"/>
        <v>130425</v>
      </c>
      <c r="L41" s="306">
        <f t="shared" si="32"/>
        <v>0</v>
      </c>
      <c r="M41" s="306">
        <f t="shared" si="32"/>
        <v>133562</v>
      </c>
      <c r="N41" s="306">
        <f t="shared" si="32"/>
        <v>104130</v>
      </c>
      <c r="O41" s="306">
        <f t="shared" si="32"/>
        <v>104130</v>
      </c>
      <c r="P41" s="306">
        <f t="shared" si="32"/>
        <v>0</v>
      </c>
      <c r="Q41" s="306">
        <f t="shared" si="32"/>
        <v>29432</v>
      </c>
      <c r="R41" s="306">
        <f t="shared" si="32"/>
        <v>29432</v>
      </c>
      <c r="S41" s="306">
        <f t="shared" si="32"/>
        <v>0</v>
      </c>
      <c r="T41" s="306">
        <f t="shared" si="32"/>
        <v>640572</v>
      </c>
      <c r="U41" s="306">
        <f t="shared" si="32"/>
        <v>381787</v>
      </c>
      <c r="V41" s="306">
        <f t="shared" si="32"/>
        <v>381787</v>
      </c>
      <c r="W41" s="306">
        <f t="shared" si="32"/>
        <v>0</v>
      </c>
      <c r="X41" s="306">
        <f t="shared" si="32"/>
        <v>258785</v>
      </c>
      <c r="Y41" s="306">
        <f t="shared" si="32"/>
        <v>258785</v>
      </c>
      <c r="Z41" s="306">
        <f t="shared" si="32"/>
        <v>0</v>
      </c>
      <c r="AA41" s="306">
        <f t="shared" si="32"/>
        <v>1125415.390045</v>
      </c>
      <c r="AB41" s="306">
        <f t="shared" si="32"/>
        <v>818747.35722300003</v>
      </c>
      <c r="AC41" s="306">
        <f t="shared" si="32"/>
        <v>306668.03282199998</v>
      </c>
      <c r="AD41" s="306">
        <f t="shared" si="32"/>
        <v>298128.06991399999</v>
      </c>
      <c r="AE41" s="306">
        <f t="shared" si="32"/>
        <v>176083.07435400001</v>
      </c>
      <c r="AF41" s="306">
        <f t="shared" si="32"/>
        <v>176083.07435400001</v>
      </c>
      <c r="AG41" s="306">
        <f t="shared" si="32"/>
        <v>0</v>
      </c>
      <c r="AH41" s="306">
        <f t="shared" si="32"/>
        <v>122044.99555999998</v>
      </c>
      <c r="AI41" s="306">
        <f t="shared" si="32"/>
        <v>122044.99555999998</v>
      </c>
      <c r="AJ41" s="306">
        <f t="shared" si="32"/>
        <v>0</v>
      </c>
      <c r="AK41" s="306">
        <f t="shared" si="32"/>
        <v>233244.728741</v>
      </c>
      <c r="AL41" s="306">
        <f t="shared" si="32"/>
        <v>183029.41902</v>
      </c>
      <c r="AM41" s="306">
        <f t="shared" si="32"/>
        <v>183029.41902</v>
      </c>
      <c r="AN41" s="306">
        <f t="shared" si="32"/>
        <v>0</v>
      </c>
      <c r="AO41" s="306">
        <f t="shared" si="32"/>
        <v>50215.309720999991</v>
      </c>
      <c r="AP41" s="306">
        <f t="shared" si="32"/>
        <v>50215.309720999991</v>
      </c>
      <c r="AQ41" s="306">
        <f t="shared" si="32"/>
        <v>0</v>
      </c>
      <c r="AR41" s="306">
        <f t="shared" si="32"/>
        <v>594042.59138999996</v>
      </c>
      <c r="AS41" s="306">
        <f t="shared" si="32"/>
        <v>459634.86384900007</v>
      </c>
      <c r="AT41" s="306">
        <f t="shared" si="32"/>
        <v>459634.86384900007</v>
      </c>
      <c r="AU41" s="306">
        <f t="shared" si="32"/>
        <v>0</v>
      </c>
      <c r="AV41" s="306">
        <f t="shared" si="32"/>
        <v>134407.727541</v>
      </c>
      <c r="AW41" s="306">
        <f t="shared" si="32"/>
        <v>134407.727541</v>
      </c>
      <c r="AX41" s="306">
        <f t="shared" si="32"/>
        <v>0</v>
      </c>
      <c r="AY41" s="307">
        <f t="shared" si="28"/>
        <v>1.0969014371853665</v>
      </c>
      <c r="AZ41" s="307">
        <f t="shared" si="28"/>
        <v>1.3480584721290585</v>
      </c>
      <c r="BA41" s="307">
        <f t="shared" si="28"/>
        <v>0.732530498186995</v>
      </c>
      <c r="BB41" s="307">
        <f t="shared" si="28"/>
        <v>1.183700810820254</v>
      </c>
      <c r="BC41" s="307">
        <f t="shared" si="28"/>
        <v>1.4500072001218749</v>
      </c>
      <c r="BD41" s="307">
        <f t="shared" si="28"/>
        <v>1.4500072001218749</v>
      </c>
      <c r="BE41" s="307"/>
      <c r="BF41" s="307">
        <f t="shared" si="28"/>
        <v>0.93574848042936543</v>
      </c>
      <c r="BG41" s="307">
        <f t="shared" si="28"/>
        <v>0.93574848042936543</v>
      </c>
      <c r="BH41" s="307"/>
      <c r="BI41" s="307">
        <f t="shared" si="28"/>
        <v>1.7463404916143814</v>
      </c>
      <c r="BJ41" s="307">
        <f t="shared" si="28"/>
        <v>1.7577011333909536</v>
      </c>
      <c r="BK41" s="307">
        <f t="shared" si="28"/>
        <v>1.7577011333909536</v>
      </c>
      <c r="BL41" s="307"/>
      <c r="BM41" s="307">
        <f t="shared" si="28"/>
        <v>1.7061467015833103</v>
      </c>
      <c r="BN41" s="307">
        <f t="shared" si="28"/>
        <v>1.7061467015833103</v>
      </c>
      <c r="BO41" s="307"/>
    </row>
    <row r="42" spans="1:69" x14ac:dyDescent="0.25">
      <c r="A42" s="123">
        <v>1</v>
      </c>
      <c r="B42" s="124" t="s">
        <v>423</v>
      </c>
      <c r="C42" s="100">
        <f>D42+E42</f>
        <v>44597</v>
      </c>
      <c r="D42" s="101">
        <f t="shared" ref="D42:D51" si="33">G42+U42+N42</f>
        <v>23461</v>
      </c>
      <c r="E42" s="101">
        <f t="shared" ref="E42:E51" si="34">J42+X42+Q42</f>
        <v>21136</v>
      </c>
      <c r="F42" s="101">
        <f>G42+J42</f>
        <v>8463</v>
      </c>
      <c r="G42" s="101">
        <f>H42+I42</f>
        <v>0</v>
      </c>
      <c r="H42" s="101"/>
      <c r="I42" s="101"/>
      <c r="J42" s="101">
        <f>K42+L42</f>
        <v>8463</v>
      </c>
      <c r="K42" s="101">
        <v>8463</v>
      </c>
      <c r="L42" s="101"/>
      <c r="M42" s="101">
        <f>N42+Q42</f>
        <v>21347</v>
      </c>
      <c r="N42" s="101">
        <f>O42+P42</f>
        <v>17223</v>
      </c>
      <c r="O42" s="101">
        <v>17223</v>
      </c>
      <c r="P42" s="101"/>
      <c r="Q42" s="101">
        <f>R42+S42</f>
        <v>4124</v>
      </c>
      <c r="R42" s="101">
        <f>3996+128</f>
        <v>4124</v>
      </c>
      <c r="S42" s="101"/>
      <c r="T42" s="101">
        <f>U42+X42</f>
        <v>14787</v>
      </c>
      <c r="U42" s="101">
        <f>V42+W42</f>
        <v>6238</v>
      </c>
      <c r="V42" s="101">
        <v>6238</v>
      </c>
      <c r="W42" s="101"/>
      <c r="X42" s="101">
        <f>Y42+Z42</f>
        <v>8549</v>
      </c>
      <c r="Y42" s="101">
        <v>8549</v>
      </c>
      <c r="Z42" s="101"/>
      <c r="AA42" s="308">
        <f t="shared" ref="AA42:AA51" si="35">AB42+AC42</f>
        <v>42127.951379000006</v>
      </c>
      <c r="AB42" s="149">
        <f t="shared" ref="AB42:AB51" si="36">AE42+AS42+AL42</f>
        <v>26242.206163000003</v>
      </c>
      <c r="AC42" s="149">
        <f t="shared" ref="AC42:AC51" si="37">AH42+AV42+AO42</f>
        <v>15885.745215999999</v>
      </c>
      <c r="AD42" s="149">
        <f t="shared" ref="AD42:AD51" si="38">AE42+AH42</f>
        <v>8412.9663820000005</v>
      </c>
      <c r="AE42" s="101">
        <f>AF42+AG42</f>
        <v>0</v>
      </c>
      <c r="AF42" s="101">
        <v>0</v>
      </c>
      <c r="AG42" s="101"/>
      <c r="AH42" s="101">
        <f>AI42+AJ42</f>
        <v>8412.9663820000005</v>
      </c>
      <c r="AI42" s="101">
        <v>8412.9663820000005</v>
      </c>
      <c r="AJ42" s="101"/>
      <c r="AK42" s="101">
        <f>AL42+AO42</f>
        <v>23602.524525000001</v>
      </c>
      <c r="AL42" s="101">
        <f>AM42+AN42</f>
        <v>19652.945499000001</v>
      </c>
      <c r="AM42" s="309">
        <v>19652.945499000001</v>
      </c>
      <c r="AN42" s="101"/>
      <c r="AO42" s="101">
        <f>AP42+AQ42</f>
        <v>3949.5790259999999</v>
      </c>
      <c r="AP42" s="101">
        <v>3949.5790259999999</v>
      </c>
      <c r="AQ42" s="101">
        <v>0</v>
      </c>
      <c r="AR42" s="101">
        <f>AS42+AV42</f>
        <v>10112.460472000001</v>
      </c>
      <c r="AS42" s="101">
        <f>AT42+AU42</f>
        <v>6589.2606640000004</v>
      </c>
      <c r="AT42" s="309">
        <v>6589.2606640000004</v>
      </c>
      <c r="AU42" s="101"/>
      <c r="AV42" s="101">
        <f>AW42+AX42</f>
        <v>3523.1998079999998</v>
      </c>
      <c r="AW42" s="101">
        <v>3523.1998079999998</v>
      </c>
      <c r="AX42" s="101">
        <v>0</v>
      </c>
      <c r="AY42" s="310">
        <f t="shared" si="28"/>
        <v>0.94463644144224956</v>
      </c>
      <c r="AZ42" s="310">
        <f t="shared" si="28"/>
        <v>1.1185459342312776</v>
      </c>
      <c r="BA42" s="310">
        <f t="shared" si="28"/>
        <v>0.75159657532172597</v>
      </c>
      <c r="BB42" s="310">
        <f t="shared" si="28"/>
        <v>0.9940879572255702</v>
      </c>
      <c r="BC42" s="310"/>
      <c r="BD42" s="310"/>
      <c r="BE42" s="310"/>
      <c r="BF42" s="310">
        <f t="shared" si="28"/>
        <v>0.9940879572255702</v>
      </c>
      <c r="BG42" s="310">
        <f t="shared" si="28"/>
        <v>0.9940879572255702</v>
      </c>
      <c r="BH42" s="310"/>
      <c r="BI42" s="310">
        <f t="shared" si="28"/>
        <v>1.10566002365672</v>
      </c>
      <c r="BJ42" s="310">
        <f t="shared" si="28"/>
        <v>1.1410872379376416</v>
      </c>
      <c r="BK42" s="310">
        <f t="shared" si="28"/>
        <v>1.1410872379376416</v>
      </c>
      <c r="BL42" s="310"/>
      <c r="BM42" s="310">
        <f t="shared" si="28"/>
        <v>0.9577058743937924</v>
      </c>
      <c r="BN42" s="310">
        <f t="shared" si="28"/>
        <v>0.9577058743937924</v>
      </c>
      <c r="BO42" s="310"/>
      <c r="BQ42" s="303"/>
    </row>
    <row r="43" spans="1:69" x14ac:dyDescent="0.25">
      <c r="A43" s="123">
        <v>2</v>
      </c>
      <c r="B43" s="124" t="s">
        <v>133</v>
      </c>
      <c r="C43" s="100">
        <f t="shared" ref="C43:C51" si="39">D43+E43</f>
        <v>75452</v>
      </c>
      <c r="D43" s="101">
        <f t="shared" si="33"/>
        <v>36197</v>
      </c>
      <c r="E43" s="101">
        <f t="shared" si="34"/>
        <v>39255</v>
      </c>
      <c r="F43" s="101">
        <f t="shared" ref="F43:F51" si="40">G43+J43</f>
        <v>10416</v>
      </c>
      <c r="G43" s="101">
        <f t="shared" ref="G43:G51" si="41">H43+I43</f>
        <v>0</v>
      </c>
      <c r="H43" s="101"/>
      <c r="I43" s="101"/>
      <c r="J43" s="101">
        <f t="shared" ref="J43:J51" si="42">K43+L43</f>
        <v>10416</v>
      </c>
      <c r="K43" s="101">
        <v>10416</v>
      </c>
      <c r="L43" s="101"/>
      <c r="M43" s="101">
        <f t="shared" ref="M43:M51" si="43">N43+Q43</f>
        <v>11851</v>
      </c>
      <c r="N43" s="101">
        <f t="shared" ref="N43:N51" si="44">O43+P43</f>
        <v>8105</v>
      </c>
      <c r="O43" s="101">
        <v>8105</v>
      </c>
      <c r="P43" s="101"/>
      <c r="Q43" s="101">
        <f t="shared" ref="Q43:Q51" si="45">R43+S43</f>
        <v>3746</v>
      </c>
      <c r="R43" s="101">
        <f>3650+96</f>
        <v>3746</v>
      </c>
      <c r="S43" s="101"/>
      <c r="T43" s="101">
        <f t="shared" ref="T43:T51" si="46">U43+X43</f>
        <v>53185</v>
      </c>
      <c r="U43" s="101">
        <f t="shared" ref="U43:U51" si="47">V43+W43</f>
        <v>28092</v>
      </c>
      <c r="V43" s="101">
        <f>38309-10217</f>
        <v>28092</v>
      </c>
      <c r="W43" s="101"/>
      <c r="X43" s="101">
        <f t="shared" ref="X43:X51" si="48">Y43+Z43</f>
        <v>25093</v>
      </c>
      <c r="Y43" s="101">
        <f>22370+2723</f>
        <v>25093</v>
      </c>
      <c r="Z43" s="101"/>
      <c r="AA43" s="308">
        <f t="shared" si="35"/>
        <v>74415.28605200001</v>
      </c>
      <c r="AB43" s="149">
        <f t="shared" si="36"/>
        <v>41042.821039000002</v>
      </c>
      <c r="AC43" s="149">
        <f t="shared" si="37"/>
        <v>33372.465013000001</v>
      </c>
      <c r="AD43" s="149">
        <f t="shared" si="38"/>
        <v>10584.634499</v>
      </c>
      <c r="AE43" s="101">
        <f t="shared" ref="AE43:AE51" si="49">AF43+AG43</f>
        <v>0</v>
      </c>
      <c r="AF43" s="101">
        <v>0</v>
      </c>
      <c r="AG43" s="101"/>
      <c r="AH43" s="101">
        <f t="shared" ref="AH43:AH51" si="50">AI43+AJ43</f>
        <v>10584.634499</v>
      </c>
      <c r="AI43" s="101">
        <v>10584.634499</v>
      </c>
      <c r="AJ43" s="101"/>
      <c r="AK43" s="101">
        <f t="shared" ref="AK43:AK51" si="51">AL43+AO43</f>
        <v>13860.80702</v>
      </c>
      <c r="AL43" s="101">
        <f t="shared" ref="AL43:AL51" si="52">AM43+AN43</f>
        <v>8207.1483740000003</v>
      </c>
      <c r="AM43" s="309">
        <v>8207.1483740000003</v>
      </c>
      <c r="AN43" s="101"/>
      <c r="AO43" s="101">
        <f t="shared" ref="AO43:AO51" si="53">AP43+AQ43</f>
        <v>5653.6586459999999</v>
      </c>
      <c r="AP43" s="101">
        <v>5653.6586459999999</v>
      </c>
      <c r="AQ43" s="101">
        <v>0</v>
      </c>
      <c r="AR43" s="101">
        <f t="shared" ref="AR43:AR51" si="54">AS43+AV43</f>
        <v>49969.844532999996</v>
      </c>
      <c r="AS43" s="101">
        <f t="shared" ref="AS43:AS51" si="55">AT43+AU43</f>
        <v>32835.672664999998</v>
      </c>
      <c r="AT43" s="309">
        <v>32835.672664999998</v>
      </c>
      <c r="AU43" s="101"/>
      <c r="AV43" s="101">
        <f t="shared" ref="AV43:AV51" si="56">AW43+AX43</f>
        <v>17134.171868000001</v>
      </c>
      <c r="AW43" s="101">
        <v>17134.171868000001</v>
      </c>
      <c r="AX43" s="101">
        <v>0</v>
      </c>
      <c r="AY43" s="310">
        <f t="shared" si="28"/>
        <v>0.98625995403700384</v>
      </c>
      <c r="AZ43" s="310">
        <f t="shared" si="28"/>
        <v>1.1338735541343206</v>
      </c>
      <c r="BA43" s="310">
        <f t="shared" si="28"/>
        <v>0.85014558688065212</v>
      </c>
      <c r="BB43" s="310">
        <f t="shared" si="28"/>
        <v>1.0161899480606758</v>
      </c>
      <c r="BC43" s="310"/>
      <c r="BD43" s="310"/>
      <c r="BE43" s="310"/>
      <c r="BF43" s="310">
        <f t="shared" si="28"/>
        <v>1.0161899480606758</v>
      </c>
      <c r="BG43" s="310">
        <f t="shared" si="28"/>
        <v>1.0161899480606758</v>
      </c>
      <c r="BH43" s="310"/>
      <c r="BI43" s="310">
        <f t="shared" si="28"/>
        <v>1.169589656569066</v>
      </c>
      <c r="BJ43" s="310">
        <f t="shared" si="28"/>
        <v>1.0126031306600864</v>
      </c>
      <c r="BK43" s="310">
        <f t="shared" si="28"/>
        <v>1.0126031306600864</v>
      </c>
      <c r="BL43" s="310"/>
      <c r="BM43" s="310">
        <f t="shared" si="28"/>
        <v>1.5092521745862253</v>
      </c>
      <c r="BN43" s="310">
        <f t="shared" si="28"/>
        <v>1.5092521745862253</v>
      </c>
      <c r="BO43" s="310"/>
      <c r="BQ43" s="303"/>
    </row>
    <row r="44" spans="1:69" x14ac:dyDescent="0.25">
      <c r="A44" s="123">
        <v>3</v>
      </c>
      <c r="B44" s="124" t="s">
        <v>135</v>
      </c>
      <c r="C44" s="100">
        <f t="shared" si="39"/>
        <v>81834</v>
      </c>
      <c r="D44" s="101">
        <f t="shared" si="33"/>
        <v>39016</v>
      </c>
      <c r="E44" s="101">
        <f t="shared" si="34"/>
        <v>42818</v>
      </c>
      <c r="F44" s="101">
        <f t="shared" si="40"/>
        <v>8139</v>
      </c>
      <c r="G44" s="101">
        <f t="shared" si="41"/>
        <v>0</v>
      </c>
      <c r="H44" s="101"/>
      <c r="I44" s="101"/>
      <c r="J44" s="101">
        <f t="shared" si="42"/>
        <v>8139</v>
      </c>
      <c r="K44" s="101">
        <v>8139</v>
      </c>
      <c r="L44" s="101"/>
      <c r="M44" s="101">
        <f t="shared" si="43"/>
        <v>7505</v>
      </c>
      <c r="N44" s="101">
        <f t="shared" si="44"/>
        <v>4979</v>
      </c>
      <c r="O44" s="101">
        <f>3039+1940</f>
        <v>4979</v>
      </c>
      <c r="P44" s="101"/>
      <c r="Q44" s="101">
        <f t="shared" si="45"/>
        <v>2526</v>
      </c>
      <c r="R44" s="101">
        <f>2430+96</f>
        <v>2526</v>
      </c>
      <c r="S44" s="101"/>
      <c r="T44" s="101">
        <f t="shared" si="46"/>
        <v>66190</v>
      </c>
      <c r="U44" s="101">
        <f t="shared" si="47"/>
        <v>34037</v>
      </c>
      <c r="V44" s="101">
        <v>34037</v>
      </c>
      <c r="W44" s="101"/>
      <c r="X44" s="101">
        <f t="shared" si="48"/>
        <v>32153</v>
      </c>
      <c r="Y44" s="101">
        <f>23691+8462</f>
        <v>32153</v>
      </c>
      <c r="Z44" s="101"/>
      <c r="AA44" s="308">
        <f t="shared" si="35"/>
        <v>89845.177366999997</v>
      </c>
      <c r="AB44" s="149">
        <f t="shared" si="36"/>
        <v>64202.15625</v>
      </c>
      <c r="AC44" s="149">
        <f t="shared" si="37"/>
        <v>25643.021117</v>
      </c>
      <c r="AD44" s="149">
        <f t="shared" si="38"/>
        <v>6665.057229</v>
      </c>
      <c r="AE44" s="101">
        <f t="shared" si="49"/>
        <v>0</v>
      </c>
      <c r="AF44" s="101">
        <v>0</v>
      </c>
      <c r="AG44" s="101"/>
      <c r="AH44" s="101">
        <f t="shared" si="50"/>
        <v>6665.057229</v>
      </c>
      <c r="AI44" s="101">
        <v>6665.057229</v>
      </c>
      <c r="AJ44" s="101"/>
      <c r="AK44" s="101">
        <f t="shared" si="51"/>
        <v>22142.549107999999</v>
      </c>
      <c r="AL44" s="101">
        <f t="shared" si="52"/>
        <v>16797.438999999998</v>
      </c>
      <c r="AM44" s="309">
        <v>16797.438999999998</v>
      </c>
      <c r="AN44" s="101"/>
      <c r="AO44" s="101">
        <f t="shared" si="53"/>
        <v>5345.1101079999999</v>
      </c>
      <c r="AP44" s="101">
        <v>5345.1101079999999</v>
      </c>
      <c r="AQ44" s="101">
        <v>0</v>
      </c>
      <c r="AR44" s="101">
        <f t="shared" si="54"/>
        <v>61037.571029999999</v>
      </c>
      <c r="AS44" s="101">
        <f t="shared" si="55"/>
        <v>47404.717250000002</v>
      </c>
      <c r="AT44" s="309">
        <v>47404.717250000002</v>
      </c>
      <c r="AU44" s="101"/>
      <c r="AV44" s="101">
        <f t="shared" si="56"/>
        <v>13632.853779999999</v>
      </c>
      <c r="AW44" s="101">
        <v>13632.853779999999</v>
      </c>
      <c r="AX44" s="101">
        <v>0</v>
      </c>
      <c r="AY44" s="310">
        <f t="shared" ref="AY44:BN51" si="57">AA44/C44</f>
        <v>1.0978954635848179</v>
      </c>
      <c r="AZ44" s="310">
        <f t="shared" si="57"/>
        <v>1.6455340437256509</v>
      </c>
      <c r="BA44" s="310">
        <f t="shared" si="57"/>
        <v>0.59888414024475689</v>
      </c>
      <c r="BB44" s="310">
        <f t="shared" si="57"/>
        <v>0.81890370180611871</v>
      </c>
      <c r="BC44" s="310"/>
      <c r="BD44" s="310"/>
      <c r="BE44" s="310"/>
      <c r="BF44" s="310">
        <f t="shared" si="57"/>
        <v>0.81890370180611871</v>
      </c>
      <c r="BG44" s="310">
        <f t="shared" si="57"/>
        <v>0.81890370180611871</v>
      </c>
      <c r="BH44" s="310"/>
      <c r="BI44" s="310">
        <f t="shared" si="57"/>
        <v>2.9503729657561624</v>
      </c>
      <c r="BJ44" s="310">
        <f t="shared" si="57"/>
        <v>3.3736571600723035</v>
      </c>
      <c r="BK44" s="310">
        <f t="shared" si="57"/>
        <v>3.3736571600723035</v>
      </c>
      <c r="BL44" s="310"/>
      <c r="BM44" s="310">
        <f t="shared" si="57"/>
        <v>2.1160372557403009</v>
      </c>
      <c r="BN44" s="310">
        <f t="shared" si="57"/>
        <v>2.1160372557403009</v>
      </c>
      <c r="BO44" s="310"/>
      <c r="BQ44" s="303"/>
    </row>
    <row r="45" spans="1:69" x14ac:dyDescent="0.25">
      <c r="A45" s="123">
        <v>4</v>
      </c>
      <c r="B45" s="124" t="s">
        <v>136</v>
      </c>
      <c r="C45" s="100">
        <f t="shared" si="39"/>
        <v>93853</v>
      </c>
      <c r="D45" s="101">
        <f t="shared" si="33"/>
        <v>57341</v>
      </c>
      <c r="E45" s="101">
        <f t="shared" si="34"/>
        <v>36512</v>
      </c>
      <c r="F45" s="101">
        <f t="shared" si="40"/>
        <v>6264</v>
      </c>
      <c r="G45" s="101">
        <f t="shared" si="41"/>
        <v>0</v>
      </c>
      <c r="H45" s="101"/>
      <c r="I45" s="101"/>
      <c r="J45" s="101">
        <f t="shared" si="42"/>
        <v>6264</v>
      </c>
      <c r="K45" s="101">
        <v>6264</v>
      </c>
      <c r="L45" s="101"/>
      <c r="M45" s="101">
        <f t="shared" si="43"/>
        <v>30793</v>
      </c>
      <c r="N45" s="101">
        <f t="shared" si="44"/>
        <v>28366</v>
      </c>
      <c r="O45" s="101">
        <v>28366</v>
      </c>
      <c r="P45" s="101"/>
      <c r="Q45" s="101">
        <f t="shared" si="45"/>
        <v>2427</v>
      </c>
      <c r="R45" s="101">
        <f>2395+32</f>
        <v>2427</v>
      </c>
      <c r="S45" s="101"/>
      <c r="T45" s="101">
        <f t="shared" si="46"/>
        <v>56796</v>
      </c>
      <c r="U45" s="101">
        <f t="shared" si="47"/>
        <v>28975</v>
      </c>
      <c r="V45" s="101">
        <f>16975+12000</f>
        <v>28975</v>
      </c>
      <c r="W45" s="101"/>
      <c r="X45" s="101">
        <f t="shared" si="48"/>
        <v>27821</v>
      </c>
      <c r="Y45" s="101">
        <f>19625+8196</f>
        <v>27821</v>
      </c>
      <c r="Z45" s="101"/>
      <c r="AA45" s="308">
        <f t="shared" si="35"/>
        <v>80734.656013</v>
      </c>
      <c r="AB45" s="149">
        <f t="shared" si="36"/>
        <v>63954.782380000004</v>
      </c>
      <c r="AC45" s="149">
        <f t="shared" si="37"/>
        <v>16779.873633000003</v>
      </c>
      <c r="AD45" s="149">
        <f t="shared" si="38"/>
        <v>5145.9838390000004</v>
      </c>
      <c r="AE45" s="101">
        <f t="shared" si="49"/>
        <v>0</v>
      </c>
      <c r="AF45" s="101">
        <v>0</v>
      </c>
      <c r="AG45" s="101"/>
      <c r="AH45" s="101">
        <f t="shared" si="50"/>
        <v>5145.9838390000004</v>
      </c>
      <c r="AI45" s="101">
        <v>5145.9838390000004</v>
      </c>
      <c r="AJ45" s="101"/>
      <c r="AK45" s="101">
        <f t="shared" si="51"/>
        <v>35807.147391000006</v>
      </c>
      <c r="AL45" s="101">
        <f t="shared" si="52"/>
        <v>31207.119380000004</v>
      </c>
      <c r="AM45" s="309">
        <v>31207.119380000004</v>
      </c>
      <c r="AN45" s="101"/>
      <c r="AO45" s="101">
        <f t="shared" si="53"/>
        <v>4600.0280110000003</v>
      </c>
      <c r="AP45" s="101">
        <v>4600.0280110000003</v>
      </c>
      <c r="AQ45" s="101"/>
      <c r="AR45" s="101">
        <f t="shared" si="54"/>
        <v>39781.524783000001</v>
      </c>
      <c r="AS45" s="101">
        <f t="shared" si="55"/>
        <v>32747.663000000004</v>
      </c>
      <c r="AT45" s="309">
        <v>32747.663000000004</v>
      </c>
      <c r="AU45" s="101"/>
      <c r="AV45" s="101">
        <f t="shared" si="56"/>
        <v>7033.8617830000003</v>
      </c>
      <c r="AW45" s="101">
        <v>7033.8617830000003</v>
      </c>
      <c r="AX45" s="101"/>
      <c r="AY45" s="310">
        <f t="shared" si="57"/>
        <v>0.8602245640842594</v>
      </c>
      <c r="AZ45" s="310">
        <f t="shared" si="57"/>
        <v>1.1153412458799115</v>
      </c>
      <c r="BA45" s="310">
        <f t="shared" si="57"/>
        <v>0.45957147329645054</v>
      </c>
      <c r="BB45" s="310">
        <f t="shared" si="57"/>
        <v>0.82151721567688385</v>
      </c>
      <c r="BC45" s="310"/>
      <c r="BD45" s="310"/>
      <c r="BE45" s="310"/>
      <c r="BF45" s="310">
        <f t="shared" si="57"/>
        <v>0.82151721567688385</v>
      </c>
      <c r="BG45" s="310">
        <f t="shared" si="57"/>
        <v>0.82151721567688385</v>
      </c>
      <c r="BH45" s="310"/>
      <c r="BI45" s="310">
        <f t="shared" si="57"/>
        <v>1.1628340009417726</v>
      </c>
      <c r="BJ45" s="310">
        <f t="shared" si="57"/>
        <v>1.1001593238383982</v>
      </c>
      <c r="BK45" s="310">
        <f t="shared" si="57"/>
        <v>1.1001593238383982</v>
      </c>
      <c r="BL45" s="310"/>
      <c r="BM45" s="310">
        <f t="shared" si="57"/>
        <v>1.8953555875566543</v>
      </c>
      <c r="BN45" s="310">
        <f t="shared" si="57"/>
        <v>1.8953555875566543</v>
      </c>
      <c r="BO45" s="310"/>
    </row>
    <row r="46" spans="1:69" x14ac:dyDescent="0.25">
      <c r="A46" s="123">
        <v>5</v>
      </c>
      <c r="B46" s="124" t="s">
        <v>422</v>
      </c>
      <c r="C46" s="100">
        <f t="shared" si="39"/>
        <v>212139</v>
      </c>
      <c r="D46" s="101">
        <f t="shared" si="33"/>
        <v>138181</v>
      </c>
      <c r="E46" s="101">
        <f t="shared" si="34"/>
        <v>73958</v>
      </c>
      <c r="F46" s="101">
        <f t="shared" si="40"/>
        <v>71972</v>
      </c>
      <c r="G46" s="101">
        <f t="shared" si="41"/>
        <v>42218</v>
      </c>
      <c r="H46" s="101">
        <v>42218</v>
      </c>
      <c r="I46" s="313"/>
      <c r="J46" s="101">
        <f t="shared" si="42"/>
        <v>29754</v>
      </c>
      <c r="K46" s="101">
        <v>29754</v>
      </c>
      <c r="L46" s="313"/>
      <c r="M46" s="101">
        <f t="shared" si="43"/>
        <v>13214</v>
      </c>
      <c r="N46" s="101">
        <f t="shared" si="44"/>
        <v>10000</v>
      </c>
      <c r="O46" s="101">
        <v>10000</v>
      </c>
      <c r="P46" s="313"/>
      <c r="Q46" s="101">
        <f t="shared" si="45"/>
        <v>3214</v>
      </c>
      <c r="R46" s="101">
        <f>3150+64</f>
        <v>3214</v>
      </c>
      <c r="S46" s="313"/>
      <c r="T46" s="101">
        <f t="shared" si="46"/>
        <v>126953</v>
      </c>
      <c r="U46" s="101">
        <f t="shared" si="47"/>
        <v>85963</v>
      </c>
      <c r="V46" s="101">
        <f>72674+4717+8572</f>
        <v>85963</v>
      </c>
      <c r="W46" s="313"/>
      <c r="X46" s="101">
        <f t="shared" si="48"/>
        <v>40990</v>
      </c>
      <c r="Y46" s="101">
        <f>34223+2711+4056</f>
        <v>40990</v>
      </c>
      <c r="Z46" s="313"/>
      <c r="AA46" s="308">
        <f t="shared" si="35"/>
        <v>216905.61502899998</v>
      </c>
      <c r="AB46" s="149">
        <f t="shared" si="36"/>
        <v>164174.13581099999</v>
      </c>
      <c r="AC46" s="149">
        <f t="shared" si="37"/>
        <v>52731.479218</v>
      </c>
      <c r="AD46" s="149">
        <f t="shared" si="38"/>
        <v>80359.262109000003</v>
      </c>
      <c r="AE46" s="101">
        <f t="shared" si="49"/>
        <v>53726.426862</v>
      </c>
      <c r="AF46" s="101">
        <v>53726.426862</v>
      </c>
      <c r="AG46" s="313"/>
      <c r="AH46" s="101">
        <f t="shared" si="50"/>
        <v>26632.835246999999</v>
      </c>
      <c r="AI46" s="313">
        <v>26632.835246999999</v>
      </c>
      <c r="AJ46" s="313"/>
      <c r="AK46" s="101">
        <f t="shared" si="51"/>
        <v>20980.327656000001</v>
      </c>
      <c r="AL46" s="101">
        <f t="shared" si="52"/>
        <v>17033.356500000002</v>
      </c>
      <c r="AM46" s="309">
        <v>17033.356500000002</v>
      </c>
      <c r="AN46" s="313"/>
      <c r="AO46" s="101">
        <f t="shared" si="53"/>
        <v>3946.9711560000001</v>
      </c>
      <c r="AP46" s="313">
        <v>3946.9711560000001</v>
      </c>
      <c r="AQ46" s="313"/>
      <c r="AR46" s="101">
        <f t="shared" si="54"/>
        <v>115566.025264</v>
      </c>
      <c r="AS46" s="101">
        <f t="shared" si="55"/>
        <v>93414.352448999998</v>
      </c>
      <c r="AT46" s="309">
        <v>93414.352448999998</v>
      </c>
      <c r="AU46" s="313"/>
      <c r="AV46" s="101">
        <f t="shared" si="56"/>
        <v>22151.672815000002</v>
      </c>
      <c r="AW46" s="313">
        <v>22151.672815000002</v>
      </c>
      <c r="AX46" s="313"/>
      <c r="AY46" s="310">
        <f t="shared" si="57"/>
        <v>1.0224693009253365</v>
      </c>
      <c r="AZ46" s="310">
        <f t="shared" si="57"/>
        <v>1.1881093334901325</v>
      </c>
      <c r="BA46" s="310">
        <f t="shared" si="57"/>
        <v>0.71299222826469077</v>
      </c>
      <c r="BB46" s="310">
        <f t="shared" si="57"/>
        <v>1.1165350707080532</v>
      </c>
      <c r="BC46" s="310">
        <f t="shared" si="57"/>
        <v>1.2725952641527312</v>
      </c>
      <c r="BD46" s="310">
        <f t="shared" si="57"/>
        <v>1.2725952641527312</v>
      </c>
      <c r="BE46" s="310"/>
      <c r="BF46" s="310">
        <f t="shared" si="57"/>
        <v>0.89510100312563012</v>
      </c>
      <c r="BG46" s="310">
        <f t="shared" si="57"/>
        <v>0.89510100312563012</v>
      </c>
      <c r="BH46" s="310"/>
      <c r="BI46" s="310">
        <f t="shared" si="57"/>
        <v>1.5877348006659604</v>
      </c>
      <c r="BJ46" s="310">
        <f t="shared" si="57"/>
        <v>1.7033356500000001</v>
      </c>
      <c r="BK46" s="310">
        <f t="shared" si="57"/>
        <v>1.7033356500000001</v>
      </c>
      <c r="BL46" s="310"/>
      <c r="BM46" s="310">
        <f t="shared" si="57"/>
        <v>1.2280557423771001</v>
      </c>
      <c r="BN46" s="310">
        <f t="shared" si="57"/>
        <v>1.2280557423771001</v>
      </c>
      <c r="BO46" s="310"/>
    </row>
    <row r="47" spans="1:69" x14ac:dyDescent="0.25">
      <c r="A47" s="123">
        <v>6</v>
      </c>
      <c r="B47" s="124" t="s">
        <v>147</v>
      </c>
      <c r="C47" s="100">
        <f t="shared" si="39"/>
        <v>113866</v>
      </c>
      <c r="D47" s="101">
        <f t="shared" si="33"/>
        <v>68140</v>
      </c>
      <c r="E47" s="101">
        <f t="shared" si="34"/>
        <v>45726</v>
      </c>
      <c r="F47" s="101">
        <f t="shared" si="40"/>
        <v>11011</v>
      </c>
      <c r="G47" s="101">
        <f t="shared" si="41"/>
        <v>0</v>
      </c>
      <c r="H47" s="101"/>
      <c r="I47" s="313"/>
      <c r="J47" s="101">
        <f t="shared" si="42"/>
        <v>11011</v>
      </c>
      <c r="K47" s="101">
        <v>11011</v>
      </c>
      <c r="L47" s="313"/>
      <c r="M47" s="101">
        <f t="shared" si="43"/>
        <v>5853</v>
      </c>
      <c r="N47" s="101">
        <f t="shared" si="44"/>
        <v>3039</v>
      </c>
      <c r="O47" s="101">
        <v>3039</v>
      </c>
      <c r="P47" s="313"/>
      <c r="Q47" s="101">
        <f t="shared" si="45"/>
        <v>2814</v>
      </c>
      <c r="R47" s="101">
        <f>2750+64</f>
        <v>2814</v>
      </c>
      <c r="S47" s="313"/>
      <c r="T47" s="101">
        <f t="shared" si="46"/>
        <v>97002</v>
      </c>
      <c r="U47" s="101">
        <f t="shared" si="47"/>
        <v>65101</v>
      </c>
      <c r="V47" s="101">
        <f>65226-54-71</f>
        <v>65101</v>
      </c>
      <c r="W47" s="313"/>
      <c r="X47" s="101">
        <f t="shared" si="48"/>
        <v>31901</v>
      </c>
      <c r="Y47" s="101">
        <f>30196-2711+4416</f>
        <v>31901</v>
      </c>
      <c r="Z47" s="313"/>
      <c r="AA47" s="308">
        <f t="shared" si="35"/>
        <v>121346.62082699999</v>
      </c>
      <c r="AB47" s="149">
        <f t="shared" si="36"/>
        <v>96926.955042999994</v>
      </c>
      <c r="AC47" s="149">
        <f t="shared" si="37"/>
        <v>24419.665784000001</v>
      </c>
      <c r="AD47" s="149">
        <f t="shared" si="38"/>
        <v>5131.2860899999996</v>
      </c>
      <c r="AE47" s="101">
        <f t="shared" si="49"/>
        <v>0</v>
      </c>
      <c r="AF47" s="101">
        <v>0</v>
      </c>
      <c r="AG47" s="313"/>
      <c r="AH47" s="101">
        <f t="shared" si="50"/>
        <v>5131.2860899999996</v>
      </c>
      <c r="AI47" s="313">
        <v>5131.2860899999996</v>
      </c>
      <c r="AJ47" s="313"/>
      <c r="AK47" s="101">
        <f t="shared" si="51"/>
        <v>14912.162471</v>
      </c>
      <c r="AL47" s="101">
        <f t="shared" si="52"/>
        <v>11898.254199999999</v>
      </c>
      <c r="AM47" s="309">
        <v>11898.254199999999</v>
      </c>
      <c r="AN47" s="313"/>
      <c r="AO47" s="101">
        <f t="shared" si="53"/>
        <v>3013.9082709999998</v>
      </c>
      <c r="AP47" s="313">
        <v>3013.9082709999998</v>
      </c>
      <c r="AQ47" s="313"/>
      <c r="AR47" s="101">
        <f t="shared" si="54"/>
        <v>101303.17226599999</v>
      </c>
      <c r="AS47" s="101">
        <f t="shared" si="55"/>
        <v>85028.700842999999</v>
      </c>
      <c r="AT47" s="309">
        <v>85028.700842999999</v>
      </c>
      <c r="AU47" s="313"/>
      <c r="AV47" s="101">
        <f t="shared" si="56"/>
        <v>16274.471423000001</v>
      </c>
      <c r="AW47" s="313">
        <v>16274.471423000001</v>
      </c>
      <c r="AX47" s="313"/>
      <c r="AY47" s="310">
        <f t="shared" si="57"/>
        <v>1.0656967033794109</v>
      </c>
      <c r="AZ47" s="310">
        <f t="shared" si="57"/>
        <v>1.422467787540358</v>
      </c>
      <c r="BA47" s="310">
        <f t="shared" si="57"/>
        <v>0.53404334041901769</v>
      </c>
      <c r="BB47" s="310">
        <f t="shared" si="57"/>
        <v>0.46601453909726631</v>
      </c>
      <c r="BC47" s="310"/>
      <c r="BD47" s="310"/>
      <c r="BE47" s="310"/>
      <c r="BF47" s="310">
        <f t="shared" si="57"/>
        <v>0.46601453909726631</v>
      </c>
      <c r="BG47" s="310">
        <f t="shared" si="57"/>
        <v>0.46601453909726631</v>
      </c>
      <c r="BH47" s="310"/>
      <c r="BI47" s="310">
        <f t="shared" si="57"/>
        <v>2.54778104749701</v>
      </c>
      <c r="BJ47" s="310">
        <f t="shared" si="57"/>
        <v>3.9151872984534384</v>
      </c>
      <c r="BK47" s="310">
        <f t="shared" si="57"/>
        <v>3.9151872984534384</v>
      </c>
      <c r="BL47" s="310"/>
      <c r="BM47" s="310">
        <f t="shared" si="57"/>
        <v>1.0710406080312722</v>
      </c>
      <c r="BN47" s="310">
        <f t="shared" si="57"/>
        <v>1.0710406080312722</v>
      </c>
      <c r="BO47" s="310"/>
    </row>
    <row r="48" spans="1:69" x14ac:dyDescent="0.25">
      <c r="A48" s="123">
        <v>7</v>
      </c>
      <c r="B48" s="124" t="s">
        <v>164</v>
      </c>
      <c r="C48" s="100">
        <f t="shared" si="39"/>
        <v>81275</v>
      </c>
      <c r="D48" s="101">
        <f t="shared" si="33"/>
        <v>40695</v>
      </c>
      <c r="E48" s="101">
        <f t="shared" si="34"/>
        <v>40580</v>
      </c>
      <c r="F48" s="101">
        <f t="shared" si="40"/>
        <v>11696</v>
      </c>
      <c r="G48" s="101">
        <f t="shared" si="41"/>
        <v>0</v>
      </c>
      <c r="H48" s="101"/>
      <c r="I48" s="313"/>
      <c r="J48" s="101">
        <f t="shared" si="42"/>
        <v>11696</v>
      </c>
      <c r="K48" s="101">
        <v>11696</v>
      </c>
      <c r="L48" s="313"/>
      <c r="M48" s="101">
        <f t="shared" si="43"/>
        <v>7406</v>
      </c>
      <c r="N48" s="101">
        <f t="shared" si="44"/>
        <v>4052</v>
      </c>
      <c r="O48" s="101">
        <v>4052</v>
      </c>
      <c r="P48" s="313"/>
      <c r="Q48" s="101">
        <f t="shared" si="45"/>
        <v>3354</v>
      </c>
      <c r="R48" s="101">
        <f>3290+64</f>
        <v>3354</v>
      </c>
      <c r="S48" s="313"/>
      <c r="T48" s="101">
        <f t="shared" si="46"/>
        <v>62173</v>
      </c>
      <c r="U48" s="101">
        <f t="shared" si="47"/>
        <v>36643</v>
      </c>
      <c r="V48" s="101">
        <v>36643</v>
      </c>
      <c r="W48" s="313"/>
      <c r="X48" s="101">
        <f t="shared" si="48"/>
        <v>25530</v>
      </c>
      <c r="Y48" s="101">
        <f>21342+4188</f>
        <v>25530</v>
      </c>
      <c r="Z48" s="313"/>
      <c r="AA48" s="308">
        <f t="shared" si="35"/>
        <v>97656.515589999995</v>
      </c>
      <c r="AB48" s="149">
        <f t="shared" si="36"/>
        <v>60918.336609999998</v>
      </c>
      <c r="AC48" s="149">
        <f t="shared" si="37"/>
        <v>36738.178980000004</v>
      </c>
      <c r="AD48" s="149">
        <f t="shared" si="38"/>
        <v>11683.865601</v>
      </c>
      <c r="AE48" s="101">
        <f t="shared" si="49"/>
        <v>0</v>
      </c>
      <c r="AF48" s="101">
        <v>0</v>
      </c>
      <c r="AG48" s="313"/>
      <c r="AH48" s="101">
        <f t="shared" si="50"/>
        <v>11683.865601</v>
      </c>
      <c r="AI48" s="313">
        <v>11683.865601</v>
      </c>
      <c r="AJ48" s="313"/>
      <c r="AK48" s="101">
        <f t="shared" si="51"/>
        <v>19040.983544999999</v>
      </c>
      <c r="AL48" s="101">
        <f t="shared" si="52"/>
        <v>13543.622334</v>
      </c>
      <c r="AM48" s="309">
        <v>13543.622334</v>
      </c>
      <c r="AN48" s="313"/>
      <c r="AO48" s="101">
        <f t="shared" si="53"/>
        <v>5497.3612110000004</v>
      </c>
      <c r="AP48" s="313">
        <v>5497.3612110000004</v>
      </c>
      <c r="AQ48" s="313"/>
      <c r="AR48" s="101">
        <f t="shared" si="54"/>
        <v>66931.666444000002</v>
      </c>
      <c r="AS48" s="101">
        <f t="shared" si="55"/>
        <v>47374.714275999999</v>
      </c>
      <c r="AT48" s="309">
        <v>47374.714275999999</v>
      </c>
      <c r="AU48" s="313"/>
      <c r="AV48" s="101">
        <f t="shared" si="56"/>
        <v>19556.952168</v>
      </c>
      <c r="AW48" s="313">
        <v>19556.952168</v>
      </c>
      <c r="AX48" s="313"/>
      <c r="AY48" s="310">
        <f t="shared" si="57"/>
        <v>1.2015566359889265</v>
      </c>
      <c r="AZ48" s="310">
        <f t="shared" si="57"/>
        <v>1.4969489276323873</v>
      </c>
      <c r="BA48" s="310">
        <f t="shared" si="57"/>
        <v>0.90532722966978818</v>
      </c>
      <c r="BB48" s="310">
        <f t="shared" si="57"/>
        <v>0.99896251718536244</v>
      </c>
      <c r="BC48" s="310"/>
      <c r="BD48" s="310"/>
      <c r="BE48" s="310"/>
      <c r="BF48" s="310">
        <f t="shared" si="57"/>
        <v>0.99896251718536244</v>
      </c>
      <c r="BG48" s="310">
        <f t="shared" si="57"/>
        <v>0.99896251718536244</v>
      </c>
      <c r="BH48" s="310"/>
      <c r="BI48" s="310">
        <f t="shared" si="57"/>
        <v>2.5710212726167971</v>
      </c>
      <c r="BJ48" s="310">
        <f t="shared" si="57"/>
        <v>3.3424536855873641</v>
      </c>
      <c r="BK48" s="310">
        <f t="shared" si="57"/>
        <v>3.3424536855873641</v>
      </c>
      <c r="BL48" s="310"/>
      <c r="BM48" s="310">
        <f t="shared" si="57"/>
        <v>1.6390462763864044</v>
      </c>
      <c r="BN48" s="310">
        <f t="shared" si="57"/>
        <v>1.6390462763864044</v>
      </c>
      <c r="BO48" s="310"/>
    </row>
    <row r="49" spans="1:69" x14ac:dyDescent="0.25">
      <c r="A49" s="123">
        <v>8</v>
      </c>
      <c r="B49" s="124" t="s">
        <v>132</v>
      </c>
      <c r="C49" s="100">
        <f t="shared" si="39"/>
        <v>76392</v>
      </c>
      <c r="D49" s="101">
        <f t="shared" si="33"/>
        <v>50046</v>
      </c>
      <c r="E49" s="101">
        <f t="shared" si="34"/>
        <v>26346</v>
      </c>
      <c r="F49" s="101">
        <f t="shared" si="40"/>
        <v>7853</v>
      </c>
      <c r="G49" s="101">
        <f t="shared" si="41"/>
        <v>0</v>
      </c>
      <c r="H49" s="101"/>
      <c r="I49" s="313"/>
      <c r="J49" s="101">
        <f t="shared" si="42"/>
        <v>7853</v>
      </c>
      <c r="K49" s="101">
        <v>7853</v>
      </c>
      <c r="L49" s="313"/>
      <c r="M49" s="101">
        <f t="shared" si="43"/>
        <v>26876</v>
      </c>
      <c r="N49" s="101">
        <f t="shared" si="44"/>
        <v>24314</v>
      </c>
      <c r="O49" s="101">
        <v>24314</v>
      </c>
      <c r="P49" s="313"/>
      <c r="Q49" s="101">
        <f t="shared" si="45"/>
        <v>2562</v>
      </c>
      <c r="R49" s="101">
        <f>2530+32</f>
        <v>2562</v>
      </c>
      <c r="S49" s="313"/>
      <c r="T49" s="101">
        <f t="shared" si="46"/>
        <v>41663</v>
      </c>
      <c r="U49" s="101">
        <f t="shared" si="47"/>
        <v>25732</v>
      </c>
      <c r="V49" s="101">
        <f>25361-287+658</f>
        <v>25732</v>
      </c>
      <c r="W49" s="313"/>
      <c r="X49" s="101">
        <f t="shared" si="48"/>
        <v>15931</v>
      </c>
      <c r="Y49" s="101">
        <f>15279+652</f>
        <v>15931</v>
      </c>
      <c r="Z49" s="313"/>
      <c r="AA49" s="308">
        <f t="shared" si="35"/>
        <v>96273.353850999993</v>
      </c>
      <c r="AB49" s="149">
        <f t="shared" si="36"/>
        <v>65826.030366999999</v>
      </c>
      <c r="AC49" s="149">
        <f t="shared" si="37"/>
        <v>30447.323484</v>
      </c>
      <c r="AD49" s="149">
        <f t="shared" si="38"/>
        <v>6930.7279900000003</v>
      </c>
      <c r="AE49" s="101">
        <f t="shared" si="49"/>
        <v>0</v>
      </c>
      <c r="AF49" s="101">
        <v>0</v>
      </c>
      <c r="AG49" s="313"/>
      <c r="AH49" s="101">
        <f t="shared" si="50"/>
        <v>6930.7279900000003</v>
      </c>
      <c r="AI49" s="313">
        <v>6930.7279900000003</v>
      </c>
      <c r="AJ49" s="313"/>
      <c r="AK49" s="101">
        <f t="shared" si="51"/>
        <v>45451.291363999997</v>
      </c>
      <c r="AL49" s="101">
        <f t="shared" si="52"/>
        <v>35217.653101999997</v>
      </c>
      <c r="AM49" s="309">
        <v>35217.653101999997</v>
      </c>
      <c r="AN49" s="313"/>
      <c r="AO49" s="101">
        <f t="shared" si="53"/>
        <v>10233.638262</v>
      </c>
      <c r="AP49" s="313">
        <v>10233.638262</v>
      </c>
      <c r="AQ49" s="313"/>
      <c r="AR49" s="101">
        <f t="shared" si="54"/>
        <v>43891.334497000003</v>
      </c>
      <c r="AS49" s="101">
        <f t="shared" si="55"/>
        <v>30608.377264999999</v>
      </c>
      <c r="AT49" s="309">
        <v>30608.377264999999</v>
      </c>
      <c r="AU49" s="313"/>
      <c r="AV49" s="101">
        <f t="shared" si="56"/>
        <v>13282.957232000001</v>
      </c>
      <c r="AW49" s="313">
        <v>13282.957232000001</v>
      </c>
      <c r="AX49" s="313"/>
      <c r="AY49" s="310">
        <f t="shared" si="57"/>
        <v>1.260254396415855</v>
      </c>
      <c r="AZ49" s="310">
        <f t="shared" si="57"/>
        <v>1.3153105216600727</v>
      </c>
      <c r="BA49" s="310">
        <f t="shared" si="57"/>
        <v>1.1556715814165339</v>
      </c>
      <c r="BB49" s="310">
        <f t="shared" si="57"/>
        <v>0.88255800203743795</v>
      </c>
      <c r="BC49" s="310"/>
      <c r="BD49" s="310"/>
      <c r="BE49" s="310"/>
      <c r="BF49" s="310">
        <f t="shared" si="57"/>
        <v>0.88255800203743795</v>
      </c>
      <c r="BG49" s="310">
        <f t="shared" si="57"/>
        <v>0.88255800203743795</v>
      </c>
      <c r="BH49" s="310"/>
      <c r="BI49" s="310">
        <f t="shared" si="57"/>
        <v>1.6911479150171156</v>
      </c>
      <c r="BJ49" s="310">
        <f t="shared" si="57"/>
        <v>1.4484516369992595</v>
      </c>
      <c r="BK49" s="310">
        <f t="shared" si="57"/>
        <v>1.4484516369992595</v>
      </c>
      <c r="BL49" s="310"/>
      <c r="BM49" s="310">
        <f t="shared" si="57"/>
        <v>3.9943943255269323</v>
      </c>
      <c r="BN49" s="310">
        <f t="shared" si="57"/>
        <v>3.9943943255269323</v>
      </c>
      <c r="BO49" s="310"/>
      <c r="BQ49" s="303"/>
    </row>
    <row r="50" spans="1:69" x14ac:dyDescent="0.25">
      <c r="A50" s="123">
        <v>9</v>
      </c>
      <c r="B50" s="124" t="s">
        <v>163</v>
      </c>
      <c r="C50" s="100">
        <f t="shared" si="39"/>
        <v>128460</v>
      </c>
      <c r="D50" s="101">
        <f t="shared" si="33"/>
        <v>84127</v>
      </c>
      <c r="E50" s="101">
        <f t="shared" si="34"/>
        <v>44333</v>
      </c>
      <c r="F50" s="101">
        <f t="shared" si="40"/>
        <v>59784</v>
      </c>
      <c r="G50" s="101">
        <f t="shared" si="41"/>
        <v>38897</v>
      </c>
      <c r="H50" s="101">
        <v>38897</v>
      </c>
      <c r="I50" s="313"/>
      <c r="J50" s="101">
        <f t="shared" si="42"/>
        <v>20887</v>
      </c>
      <c r="K50" s="101">
        <v>20887</v>
      </c>
      <c r="L50" s="313"/>
      <c r="M50" s="101">
        <f t="shared" si="43"/>
        <v>6447</v>
      </c>
      <c r="N50" s="101">
        <f t="shared" si="44"/>
        <v>3039</v>
      </c>
      <c r="O50" s="101">
        <v>3039</v>
      </c>
      <c r="P50" s="313"/>
      <c r="Q50" s="101">
        <f t="shared" si="45"/>
        <v>3408</v>
      </c>
      <c r="R50" s="101">
        <f>3280+128</f>
        <v>3408</v>
      </c>
      <c r="S50" s="313"/>
      <c r="T50" s="101">
        <f t="shared" si="46"/>
        <v>62229</v>
      </c>
      <c r="U50" s="101">
        <f t="shared" si="47"/>
        <v>42191</v>
      </c>
      <c r="V50" s="101">
        <f>42556-365</f>
        <v>42191</v>
      </c>
      <c r="W50" s="313"/>
      <c r="X50" s="101">
        <f t="shared" si="48"/>
        <v>20038</v>
      </c>
      <c r="Y50" s="101">
        <f>17183+2855</f>
        <v>20038</v>
      </c>
      <c r="Z50" s="313"/>
      <c r="AA50" s="308">
        <f t="shared" si="35"/>
        <v>208983.99477599998</v>
      </c>
      <c r="AB50" s="149">
        <f t="shared" si="36"/>
        <v>166201.46375599998</v>
      </c>
      <c r="AC50" s="149">
        <f t="shared" si="37"/>
        <v>42782.531020000002</v>
      </c>
      <c r="AD50" s="149">
        <f t="shared" si="38"/>
        <v>110215.05370399999</v>
      </c>
      <c r="AE50" s="101">
        <f t="shared" si="49"/>
        <v>87851.541563999999</v>
      </c>
      <c r="AF50" s="101">
        <v>87851.541563999999</v>
      </c>
      <c r="AG50" s="313"/>
      <c r="AH50" s="101">
        <f t="shared" si="50"/>
        <v>22363.512139999999</v>
      </c>
      <c r="AI50" s="313">
        <v>22363.512139999999</v>
      </c>
      <c r="AJ50" s="313"/>
      <c r="AK50" s="101">
        <f t="shared" si="51"/>
        <v>31392.907411</v>
      </c>
      <c r="AL50" s="101">
        <f t="shared" si="52"/>
        <v>25617.333631000001</v>
      </c>
      <c r="AM50" s="309">
        <v>25617.333631000001</v>
      </c>
      <c r="AN50" s="313"/>
      <c r="AO50" s="101">
        <f t="shared" si="53"/>
        <v>5775.5737799999997</v>
      </c>
      <c r="AP50" s="313">
        <v>5775.5737799999997</v>
      </c>
      <c r="AQ50" s="313"/>
      <c r="AR50" s="101">
        <f t="shared" si="54"/>
        <v>67376.033660999994</v>
      </c>
      <c r="AS50" s="101">
        <f t="shared" si="55"/>
        <v>52732.588560999997</v>
      </c>
      <c r="AT50" s="309">
        <v>52732.588560999997</v>
      </c>
      <c r="AU50" s="313"/>
      <c r="AV50" s="101">
        <f t="shared" si="56"/>
        <v>14643.445100000001</v>
      </c>
      <c r="AW50" s="313">
        <v>14643.445100000001</v>
      </c>
      <c r="AX50" s="313"/>
      <c r="AY50" s="310">
        <f t="shared" si="57"/>
        <v>1.6268409993460997</v>
      </c>
      <c r="AZ50" s="310">
        <f t="shared" si="57"/>
        <v>1.9756019322690692</v>
      </c>
      <c r="BA50" s="310">
        <f t="shared" si="57"/>
        <v>0.96502675253197401</v>
      </c>
      <c r="BB50" s="310">
        <f t="shared" si="57"/>
        <v>1.8435543574200453</v>
      </c>
      <c r="BC50" s="310">
        <f t="shared" si="57"/>
        <v>2.258568567344525</v>
      </c>
      <c r="BD50" s="310">
        <f t="shared" si="57"/>
        <v>2.258568567344525</v>
      </c>
      <c r="BE50" s="310"/>
      <c r="BF50" s="310">
        <f t="shared" si="57"/>
        <v>1.0706904840331306</v>
      </c>
      <c r="BG50" s="310">
        <f t="shared" si="57"/>
        <v>1.0706904840331306</v>
      </c>
      <c r="BH50" s="310"/>
      <c r="BI50" s="310">
        <f t="shared" si="57"/>
        <v>4.8693822570187688</v>
      </c>
      <c r="BJ50" s="310">
        <f t="shared" si="57"/>
        <v>8.429527354721948</v>
      </c>
      <c r="BK50" s="310">
        <f t="shared" si="57"/>
        <v>8.429527354721948</v>
      </c>
      <c r="BL50" s="310"/>
      <c r="BM50" s="310">
        <f t="shared" si="57"/>
        <v>1.694710616197183</v>
      </c>
      <c r="BN50" s="310">
        <f t="shared" si="57"/>
        <v>1.694710616197183</v>
      </c>
      <c r="BO50" s="310"/>
      <c r="BQ50" s="303"/>
    </row>
    <row r="51" spans="1:69" x14ac:dyDescent="0.25">
      <c r="A51" s="123">
        <v>10</v>
      </c>
      <c r="B51" s="124" t="s">
        <v>149</v>
      </c>
      <c r="C51" s="100">
        <f t="shared" si="39"/>
        <v>118127</v>
      </c>
      <c r="D51" s="101">
        <f t="shared" si="33"/>
        <v>70149</v>
      </c>
      <c r="E51" s="101">
        <f t="shared" si="34"/>
        <v>47978</v>
      </c>
      <c r="F51" s="101">
        <f t="shared" si="40"/>
        <v>56263</v>
      </c>
      <c r="G51" s="101">
        <f t="shared" si="41"/>
        <v>40321</v>
      </c>
      <c r="H51" s="101">
        <v>40321</v>
      </c>
      <c r="I51" s="313"/>
      <c r="J51" s="101">
        <f t="shared" si="42"/>
        <v>15942</v>
      </c>
      <c r="K51" s="101">
        <v>15942</v>
      </c>
      <c r="L51" s="313"/>
      <c r="M51" s="101">
        <f t="shared" si="43"/>
        <v>2270</v>
      </c>
      <c r="N51" s="101">
        <f t="shared" si="44"/>
        <v>1013</v>
      </c>
      <c r="O51" s="101">
        <v>1013</v>
      </c>
      <c r="P51" s="313"/>
      <c r="Q51" s="101">
        <f t="shared" si="45"/>
        <v>1257</v>
      </c>
      <c r="R51" s="101">
        <f>1225+32</f>
        <v>1257</v>
      </c>
      <c r="S51" s="313"/>
      <c r="T51" s="101">
        <f t="shared" si="46"/>
        <v>59594</v>
      </c>
      <c r="U51" s="101">
        <f t="shared" si="47"/>
        <v>28815</v>
      </c>
      <c r="V51" s="101">
        <f>34027-6500+1288</f>
        <v>28815</v>
      </c>
      <c r="W51" s="313"/>
      <c r="X51" s="101">
        <f t="shared" si="48"/>
        <v>30779</v>
      </c>
      <c r="Y51" s="101">
        <f>21553+9226</f>
        <v>30779</v>
      </c>
      <c r="Z51" s="313"/>
      <c r="AA51" s="308">
        <f t="shared" si="35"/>
        <v>97126.219161000001</v>
      </c>
      <c r="AB51" s="149">
        <f t="shared" si="36"/>
        <v>69258.469804000008</v>
      </c>
      <c r="AC51" s="149">
        <f t="shared" si="37"/>
        <v>27867.749356999997</v>
      </c>
      <c r="AD51" s="149">
        <f t="shared" si="38"/>
        <v>52999.232470999996</v>
      </c>
      <c r="AE51" s="101">
        <f t="shared" si="49"/>
        <v>34505.105927999997</v>
      </c>
      <c r="AF51" s="101">
        <v>34505.105927999997</v>
      </c>
      <c r="AG51" s="313"/>
      <c r="AH51" s="101">
        <f t="shared" si="50"/>
        <v>18494.126542999998</v>
      </c>
      <c r="AI51" s="313">
        <v>18494.126542999998</v>
      </c>
      <c r="AJ51" s="313"/>
      <c r="AK51" s="101">
        <f t="shared" si="51"/>
        <v>6054.0282499999994</v>
      </c>
      <c r="AL51" s="101">
        <f t="shared" si="52"/>
        <v>3854.547</v>
      </c>
      <c r="AM51" s="309">
        <v>3854.547</v>
      </c>
      <c r="AN51" s="313"/>
      <c r="AO51" s="149">
        <f t="shared" si="53"/>
        <v>2199.4812499999998</v>
      </c>
      <c r="AP51" s="313">
        <v>2199.4812499999998</v>
      </c>
      <c r="AQ51" s="313"/>
      <c r="AR51" s="101">
        <f t="shared" si="54"/>
        <v>38072.958440000002</v>
      </c>
      <c r="AS51" s="101">
        <f t="shared" si="55"/>
        <v>30898.816876000001</v>
      </c>
      <c r="AT51" s="309">
        <v>30898.816876000001</v>
      </c>
      <c r="AU51" s="313"/>
      <c r="AV51" s="149">
        <f t="shared" si="56"/>
        <v>7174.1415639999996</v>
      </c>
      <c r="AW51" s="313">
        <v>7174.1415639999996</v>
      </c>
      <c r="AX51" s="313"/>
      <c r="AY51" s="310">
        <f t="shared" si="57"/>
        <v>0.8222186220000508</v>
      </c>
      <c r="AZ51" s="310">
        <f t="shared" si="57"/>
        <v>0.98730516192675599</v>
      </c>
      <c r="BA51" s="310">
        <f t="shared" si="57"/>
        <v>0.58084433192296459</v>
      </c>
      <c r="BB51" s="310">
        <f t="shared" si="57"/>
        <v>0.94199087270497472</v>
      </c>
      <c r="BC51" s="310">
        <f t="shared" si="57"/>
        <v>0.85576017281317418</v>
      </c>
      <c r="BD51" s="310">
        <f t="shared" si="57"/>
        <v>0.85576017281317418</v>
      </c>
      <c r="BE51" s="310"/>
      <c r="BF51" s="310">
        <f t="shared" si="57"/>
        <v>1.1600882287667795</v>
      </c>
      <c r="BG51" s="310">
        <f t="shared" si="57"/>
        <v>1.1600882287667795</v>
      </c>
      <c r="BH51" s="310"/>
      <c r="BI51" s="310">
        <f t="shared" si="57"/>
        <v>2.666972797356828</v>
      </c>
      <c r="BJ51" s="310">
        <f t="shared" si="57"/>
        <v>3.8050809476801581</v>
      </c>
      <c r="BK51" s="310">
        <f t="shared" si="57"/>
        <v>3.8050809476801581</v>
      </c>
      <c r="BL51" s="310"/>
      <c r="BM51" s="310">
        <f t="shared" si="57"/>
        <v>1.749786197295147</v>
      </c>
      <c r="BN51" s="310">
        <f t="shared" si="57"/>
        <v>1.749786197295147</v>
      </c>
      <c r="BO51" s="310"/>
    </row>
    <row r="52" spans="1:69" ht="9" customHeight="1" x14ac:dyDescent="0.25">
      <c r="A52" s="314"/>
      <c r="B52" s="315"/>
      <c r="C52" s="102"/>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2"/>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316"/>
      <c r="AZ52" s="317"/>
      <c r="BA52" s="317"/>
      <c r="BB52" s="317"/>
      <c r="BC52" s="317"/>
      <c r="BD52" s="317"/>
      <c r="BE52" s="317"/>
      <c r="BF52" s="317"/>
      <c r="BG52" s="317"/>
      <c r="BH52" s="317"/>
      <c r="BI52" s="317"/>
      <c r="BJ52" s="317"/>
      <c r="BK52" s="317"/>
      <c r="BL52" s="317"/>
      <c r="BM52" s="317"/>
      <c r="BN52" s="317"/>
      <c r="BO52" s="317"/>
    </row>
  </sheetData>
  <mergeCells count="54">
    <mergeCell ref="A1:B1"/>
    <mergeCell ref="Q1:S1"/>
    <mergeCell ref="X1:Z1"/>
    <mergeCell ref="A3:BO3"/>
    <mergeCell ref="A4:BO4"/>
    <mergeCell ref="A7:A10"/>
    <mergeCell ref="B7:B10"/>
    <mergeCell ref="C7:Z7"/>
    <mergeCell ref="AA7:AX7"/>
    <mergeCell ref="AY7:BO7"/>
    <mergeCell ref="C8:C10"/>
    <mergeCell ref="D8:E8"/>
    <mergeCell ref="F8:L8"/>
    <mergeCell ref="M8:S8"/>
    <mergeCell ref="T8:Z8"/>
    <mergeCell ref="AZ8:BA8"/>
    <mergeCell ref="BB8:BH8"/>
    <mergeCell ref="BI8:BO8"/>
    <mergeCell ref="D9:D10"/>
    <mergeCell ref="E9:E10"/>
    <mergeCell ref="F9:F10"/>
    <mergeCell ref="G9:I9"/>
    <mergeCell ref="J9:L9"/>
    <mergeCell ref="M9:M10"/>
    <mergeCell ref="N9:P9"/>
    <mergeCell ref="AA8:AA10"/>
    <mergeCell ref="AB8:AC8"/>
    <mergeCell ref="AD8:AJ8"/>
    <mergeCell ref="AK8:AQ8"/>
    <mergeCell ref="AR8:AX8"/>
    <mergeCell ref="AY8:AY10"/>
    <mergeCell ref="AZ9:AZ10"/>
    <mergeCell ref="Q9:S9"/>
    <mergeCell ref="T9:T10"/>
    <mergeCell ref="U9:W9"/>
    <mergeCell ref="X9:Z9"/>
    <mergeCell ref="AB9:AB10"/>
    <mergeCell ref="AC9:AC10"/>
    <mergeCell ref="AD9:AD10"/>
    <mergeCell ref="AE9:AG9"/>
    <mergeCell ref="AH9:AJ9"/>
    <mergeCell ref="AK9:AK10"/>
    <mergeCell ref="AL9:AN9"/>
    <mergeCell ref="AO9:AQ9"/>
    <mergeCell ref="AR9:AR10"/>
    <mergeCell ref="AS9:AU9"/>
    <mergeCell ref="AV9:AX9"/>
    <mergeCell ref="BM9:BO9"/>
    <mergeCell ref="BA9:BA10"/>
    <mergeCell ref="BB9:BB10"/>
    <mergeCell ref="BC9:BE9"/>
    <mergeCell ref="BF9:BH9"/>
    <mergeCell ref="BI9:BI10"/>
    <mergeCell ref="BJ9:BL9"/>
  </mergeCells>
  <pageMargins left="0" right="0" top="0" bottom="0" header="0.31496062992125984" footer="0.31496062992125984"/>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M109"/>
  <sheetViews>
    <sheetView workbookViewId="0">
      <selection activeCell="H21" sqref="H21"/>
    </sheetView>
  </sheetViews>
  <sheetFormatPr defaultColWidth="9.140625" defaultRowHeight="15" outlineLevelRow="1" x14ac:dyDescent="0.25"/>
  <cols>
    <col min="1" max="1" width="9.140625" style="105"/>
    <col min="2" max="2" width="38.140625" style="105" customWidth="1"/>
    <col min="3" max="3" width="11.85546875" style="105" customWidth="1"/>
    <col min="4" max="4" width="10.7109375" style="105" customWidth="1"/>
    <col min="5" max="5" width="11" style="105" customWidth="1"/>
    <col min="6" max="6" width="10" style="105" bestFit="1" customWidth="1"/>
    <col min="7" max="8" width="11.28515625" style="105" bestFit="1" customWidth="1"/>
    <col min="9" max="9" width="11.42578125" style="105" bestFit="1" customWidth="1"/>
    <col min="10" max="11" width="9.140625" style="105"/>
    <col min="12" max="12" width="11" style="141" customWidth="1"/>
    <col min="13" max="13" width="10.140625" style="105" bestFit="1" customWidth="1"/>
    <col min="14" max="16384" width="9.140625" style="105"/>
  </cols>
  <sheetData>
    <row r="1" spans="1:13" x14ac:dyDescent="0.25">
      <c r="A1" s="104" t="s">
        <v>487</v>
      </c>
      <c r="C1" s="117"/>
      <c r="D1" s="117"/>
      <c r="E1" s="117"/>
      <c r="F1" s="117"/>
      <c r="G1" s="117"/>
      <c r="H1" s="117"/>
    </row>
    <row r="2" spans="1:13" ht="33" customHeight="1" x14ac:dyDescent="0.25">
      <c r="A2" s="340" t="s">
        <v>488</v>
      </c>
      <c r="B2" s="340"/>
      <c r="C2" s="340"/>
      <c r="D2" s="340"/>
      <c r="E2" s="340"/>
      <c r="F2" s="340"/>
      <c r="G2" s="340"/>
      <c r="H2" s="340"/>
      <c r="I2" s="340"/>
      <c r="J2" s="340"/>
      <c r="K2" s="340"/>
    </row>
    <row r="3" spans="1:13" ht="15.75" customHeight="1" x14ac:dyDescent="0.25">
      <c r="A3" s="342" t="s">
        <v>489</v>
      </c>
      <c r="B3" s="342"/>
      <c r="C3" s="342"/>
      <c r="D3" s="342"/>
      <c r="E3" s="342"/>
      <c r="F3" s="342"/>
      <c r="G3" s="342"/>
      <c r="H3" s="342"/>
      <c r="I3" s="342"/>
      <c r="J3" s="342"/>
      <c r="K3" s="342"/>
    </row>
    <row r="4" spans="1:13" x14ac:dyDescent="0.2">
      <c r="G4" s="142">
        <f>G8+'[2]Bieu 59'!K10</f>
        <v>8083350.3535740012</v>
      </c>
      <c r="J4" s="344" t="s">
        <v>490</v>
      </c>
      <c r="K4" s="344"/>
    </row>
    <row r="5" spans="1:13" x14ac:dyDescent="0.25">
      <c r="A5" s="328" t="s">
        <v>2</v>
      </c>
      <c r="B5" s="328" t="s">
        <v>385</v>
      </c>
      <c r="C5" s="328" t="s">
        <v>491</v>
      </c>
      <c r="D5" s="328" t="s">
        <v>197</v>
      </c>
      <c r="E5" s="328"/>
      <c r="F5" s="328" t="s">
        <v>108</v>
      </c>
      <c r="G5" s="328" t="s">
        <v>197</v>
      </c>
      <c r="H5" s="328"/>
      <c r="I5" s="328" t="s">
        <v>109</v>
      </c>
      <c r="J5" s="328"/>
      <c r="K5" s="328"/>
      <c r="L5" s="142"/>
    </row>
    <row r="6" spans="1:13" ht="45.75" customHeight="1" x14ac:dyDescent="0.25">
      <c r="A6" s="328"/>
      <c r="B6" s="328"/>
      <c r="C6" s="328"/>
      <c r="D6" s="54" t="s">
        <v>386</v>
      </c>
      <c r="E6" s="54" t="s">
        <v>387</v>
      </c>
      <c r="F6" s="328"/>
      <c r="G6" s="54" t="s">
        <v>386</v>
      </c>
      <c r="H6" s="54" t="s">
        <v>387</v>
      </c>
      <c r="I6" s="54" t="s">
        <v>200</v>
      </c>
      <c r="J6" s="54" t="s">
        <v>198</v>
      </c>
      <c r="K6" s="54" t="s">
        <v>199</v>
      </c>
    </row>
    <row r="7" spans="1:13" x14ac:dyDescent="0.25">
      <c r="A7" s="54" t="s">
        <v>7</v>
      </c>
      <c r="B7" s="54" t="s">
        <v>8</v>
      </c>
      <c r="C7" s="54" t="s">
        <v>60</v>
      </c>
      <c r="D7" s="54">
        <v>2</v>
      </c>
      <c r="E7" s="54">
        <v>3</v>
      </c>
      <c r="F7" s="54" t="s">
        <v>61</v>
      </c>
      <c r="G7" s="54">
        <v>5</v>
      </c>
      <c r="H7" s="54">
        <v>6</v>
      </c>
      <c r="I7" s="54" t="s">
        <v>62</v>
      </c>
      <c r="J7" s="54" t="s">
        <v>63</v>
      </c>
      <c r="K7" s="54" t="s">
        <v>64</v>
      </c>
      <c r="L7" s="142"/>
    </row>
    <row r="8" spans="1:13" x14ac:dyDescent="0.25">
      <c r="A8" s="143"/>
      <c r="B8" s="144" t="s">
        <v>20</v>
      </c>
      <c r="C8" s="117">
        <v>7842265</v>
      </c>
      <c r="D8" s="117">
        <v>4509987</v>
      </c>
      <c r="E8" s="117">
        <v>3332278</v>
      </c>
      <c r="F8" s="117">
        <v>10351562.723144002</v>
      </c>
      <c r="G8" s="117">
        <v>5542789.7384740012</v>
      </c>
      <c r="H8" s="117">
        <v>4808772.9846700011</v>
      </c>
      <c r="I8" s="145">
        <f t="shared" ref="I8:K23" si="0">IF(C8=0,0,F8/C8*100)</f>
        <v>131.99710444806445</v>
      </c>
      <c r="J8" s="145">
        <f t="shared" si="0"/>
        <v>122.90034845940801</v>
      </c>
      <c r="K8" s="145">
        <f t="shared" si="0"/>
        <v>144.30887773078959</v>
      </c>
      <c r="L8" s="142"/>
      <c r="M8" s="106"/>
    </row>
    <row r="9" spans="1:13" ht="25.5" x14ac:dyDescent="0.25">
      <c r="A9" s="133" t="s">
        <v>7</v>
      </c>
      <c r="B9" s="126" t="s">
        <v>240</v>
      </c>
      <c r="C9" s="118">
        <v>6401125</v>
      </c>
      <c r="D9" s="146">
        <v>3132417</v>
      </c>
      <c r="E9" s="146">
        <v>3268708</v>
      </c>
      <c r="F9" s="146">
        <v>6127441.0491620013</v>
      </c>
      <c r="G9" s="146">
        <v>2364471.4028450004</v>
      </c>
      <c r="H9" s="146">
        <v>3762969.4463170003</v>
      </c>
      <c r="I9" s="147">
        <f t="shared" si="0"/>
        <v>95.724439831467151</v>
      </c>
      <c r="J9" s="147">
        <f t="shared" si="0"/>
        <v>75.483928316217174</v>
      </c>
      <c r="K9" s="147">
        <f t="shared" si="0"/>
        <v>115.12100335413871</v>
      </c>
      <c r="L9" s="142"/>
      <c r="M9" s="106"/>
    </row>
    <row r="10" spans="1:13" x14ac:dyDescent="0.25">
      <c r="A10" s="133" t="s">
        <v>241</v>
      </c>
      <c r="B10" s="126" t="s">
        <v>65</v>
      </c>
      <c r="C10" s="118">
        <v>6317225</v>
      </c>
      <c r="D10" s="146">
        <v>3048517</v>
      </c>
      <c r="E10" s="146">
        <v>3268708</v>
      </c>
      <c r="F10" s="146">
        <v>6108163.536065001</v>
      </c>
      <c r="G10" s="146">
        <v>2345193.8897480005</v>
      </c>
      <c r="H10" s="146">
        <v>3762969.4463170003</v>
      </c>
      <c r="I10" s="147">
        <f t="shared" si="0"/>
        <v>96.690612350596993</v>
      </c>
      <c r="J10" s="147">
        <f t="shared" si="0"/>
        <v>76.929008096330136</v>
      </c>
      <c r="K10" s="147">
        <f t="shared" si="0"/>
        <v>115.12100335413871</v>
      </c>
      <c r="L10" s="142"/>
      <c r="M10" s="106"/>
    </row>
    <row r="11" spans="1:13" x14ac:dyDescent="0.25">
      <c r="A11" s="131" t="s">
        <v>39</v>
      </c>
      <c r="B11" s="132" t="s">
        <v>21</v>
      </c>
      <c r="C11" s="118">
        <v>902220</v>
      </c>
      <c r="D11" s="118">
        <v>513733</v>
      </c>
      <c r="E11" s="118">
        <v>388487</v>
      </c>
      <c r="F11" s="146">
        <v>1257560.1399480002</v>
      </c>
      <c r="G11" s="148">
        <v>563651.5</v>
      </c>
      <c r="H11" s="148">
        <v>693908.63994800032</v>
      </c>
      <c r="I11" s="147">
        <f t="shared" si="0"/>
        <v>139.38508788854162</v>
      </c>
      <c r="J11" s="147">
        <f t="shared" si="0"/>
        <v>109.71681788010503</v>
      </c>
      <c r="K11" s="147">
        <f t="shared" si="0"/>
        <v>178.61823946438372</v>
      </c>
      <c r="L11" s="142"/>
      <c r="M11" s="106"/>
    </row>
    <row r="12" spans="1:13" hidden="1" outlineLevel="1" x14ac:dyDescent="0.25">
      <c r="A12" s="129">
        <v>1</v>
      </c>
      <c r="B12" s="130" t="s">
        <v>433</v>
      </c>
      <c r="C12" s="149">
        <v>902220</v>
      </c>
      <c r="D12" s="101">
        <v>513733</v>
      </c>
      <c r="E12" s="101">
        <v>388487</v>
      </c>
      <c r="F12" s="150">
        <v>1240117.6859480003</v>
      </c>
      <c r="G12" s="140">
        <v>554055.5</v>
      </c>
      <c r="H12" s="140">
        <v>686062.18594800029</v>
      </c>
      <c r="I12" s="151">
        <f t="shared" si="0"/>
        <v>137.45180620558182</v>
      </c>
      <c r="J12" s="151">
        <f t="shared" si="0"/>
        <v>107.84892152149072</v>
      </c>
      <c r="K12" s="151">
        <f t="shared" si="0"/>
        <v>176.59849260026726</v>
      </c>
      <c r="L12" s="142"/>
      <c r="M12" s="106"/>
    </row>
    <row r="13" spans="1:13" s="160" customFormat="1" hidden="1" outlineLevel="1" x14ac:dyDescent="0.25">
      <c r="A13" s="152"/>
      <c r="B13" s="153" t="s">
        <v>434</v>
      </c>
      <c r="C13" s="154">
        <v>0</v>
      </c>
      <c r="D13" s="155"/>
      <c r="E13" s="155">
        <v>0</v>
      </c>
      <c r="F13" s="152"/>
      <c r="G13" s="156"/>
      <c r="H13" s="156"/>
      <c r="I13" s="157">
        <f t="shared" si="0"/>
        <v>0</v>
      </c>
      <c r="J13" s="157">
        <f t="shared" si="0"/>
        <v>0</v>
      </c>
      <c r="K13" s="157">
        <f t="shared" si="0"/>
        <v>0</v>
      </c>
      <c r="L13" s="158"/>
      <c r="M13" s="159"/>
    </row>
    <row r="14" spans="1:13" s="160" customFormat="1" hidden="1" outlineLevel="1" x14ac:dyDescent="0.25">
      <c r="A14" s="152" t="s">
        <v>12</v>
      </c>
      <c r="B14" s="153" t="s">
        <v>67</v>
      </c>
      <c r="C14" s="154">
        <v>121011</v>
      </c>
      <c r="D14" s="155">
        <v>41847.006000000001</v>
      </c>
      <c r="E14" s="155">
        <v>79163.994000000006</v>
      </c>
      <c r="F14" s="161">
        <v>177791.79907199999</v>
      </c>
      <c r="G14" s="156">
        <v>46781.483200000002</v>
      </c>
      <c r="H14" s="156">
        <v>131010.31587199999</v>
      </c>
      <c r="I14" s="157">
        <f t="shared" si="0"/>
        <v>146.92201458710366</v>
      </c>
      <c r="J14" s="157">
        <f t="shared" si="0"/>
        <v>111.79170906515989</v>
      </c>
      <c r="K14" s="157">
        <f t="shared" si="0"/>
        <v>165.49230180579315</v>
      </c>
      <c r="L14" s="158"/>
      <c r="M14" s="159"/>
    </row>
    <row r="15" spans="1:13" s="160" customFormat="1" hidden="1" outlineLevel="1" x14ac:dyDescent="0.25">
      <c r="A15" s="152" t="s">
        <v>12</v>
      </c>
      <c r="B15" s="153" t="s">
        <v>435</v>
      </c>
      <c r="C15" s="154">
        <v>27508.376</v>
      </c>
      <c r="D15" s="155">
        <v>27508.376</v>
      </c>
      <c r="E15" s="155">
        <v>0</v>
      </c>
      <c r="F15" s="161">
        <v>17646.610184000001</v>
      </c>
      <c r="G15" s="156">
        <v>17646.610184000001</v>
      </c>
      <c r="H15" s="156">
        <v>0</v>
      </c>
      <c r="I15" s="157">
        <f t="shared" si="0"/>
        <v>64.149952668961632</v>
      </c>
      <c r="J15" s="157">
        <f t="shared" si="0"/>
        <v>64.149952668961632</v>
      </c>
      <c r="K15" s="157">
        <f t="shared" si="0"/>
        <v>0</v>
      </c>
      <c r="L15" s="158"/>
      <c r="M15" s="159"/>
    </row>
    <row r="16" spans="1:13" s="160" customFormat="1" hidden="1" outlineLevel="1" x14ac:dyDescent="0.25">
      <c r="A16" s="152"/>
      <c r="B16" s="153" t="s">
        <v>201</v>
      </c>
      <c r="C16" s="154">
        <v>0</v>
      </c>
      <c r="D16" s="155"/>
      <c r="E16" s="155">
        <v>0</v>
      </c>
      <c r="F16" s="152"/>
      <c r="G16" s="156"/>
      <c r="H16" s="156"/>
      <c r="I16" s="157">
        <f t="shared" si="0"/>
        <v>0</v>
      </c>
      <c r="J16" s="157">
        <f t="shared" si="0"/>
        <v>0</v>
      </c>
      <c r="K16" s="157">
        <f t="shared" si="0"/>
        <v>0</v>
      </c>
      <c r="L16" s="158"/>
      <c r="M16" s="159"/>
    </row>
    <row r="17" spans="1:13" s="160" customFormat="1" hidden="1" outlineLevel="1" x14ac:dyDescent="0.25">
      <c r="A17" s="152" t="s">
        <v>12</v>
      </c>
      <c r="B17" s="153" t="s">
        <v>69</v>
      </c>
      <c r="C17" s="154">
        <v>296116</v>
      </c>
      <c r="D17" s="155">
        <v>115220</v>
      </c>
      <c r="E17" s="155">
        <v>180896</v>
      </c>
      <c r="F17" s="161">
        <v>500636.99800000002</v>
      </c>
      <c r="G17" s="156">
        <v>173359.17800000001</v>
      </c>
      <c r="H17" s="156">
        <v>327277.82</v>
      </c>
      <c r="I17" s="157">
        <f t="shared" si="0"/>
        <v>169.06786462062166</v>
      </c>
      <c r="J17" s="157">
        <f t="shared" si="0"/>
        <v>150.45927616733209</v>
      </c>
      <c r="K17" s="157">
        <f t="shared" si="0"/>
        <v>180.92042941800815</v>
      </c>
      <c r="L17" s="158"/>
      <c r="M17" s="159"/>
    </row>
    <row r="18" spans="1:13" s="160" customFormat="1" hidden="1" outlineLevel="1" x14ac:dyDescent="0.25">
      <c r="A18" s="152" t="s">
        <v>12</v>
      </c>
      <c r="B18" s="153" t="s">
        <v>70</v>
      </c>
      <c r="C18" s="154">
        <v>90000</v>
      </c>
      <c r="D18" s="155">
        <v>80290</v>
      </c>
      <c r="E18" s="155">
        <v>9710</v>
      </c>
      <c r="F18" s="161">
        <v>95334.849699999992</v>
      </c>
      <c r="G18" s="156">
        <v>95334.849699999992</v>
      </c>
      <c r="H18" s="156">
        <v>0</v>
      </c>
      <c r="I18" s="157">
        <f t="shared" si="0"/>
        <v>105.92761077777777</v>
      </c>
      <c r="J18" s="157">
        <f t="shared" si="0"/>
        <v>118.73813638062025</v>
      </c>
      <c r="K18" s="157">
        <f t="shared" si="0"/>
        <v>0</v>
      </c>
      <c r="L18" s="158"/>
      <c r="M18" s="159"/>
    </row>
    <row r="19" spans="1:13" ht="63.75" hidden="1" outlineLevel="1" x14ac:dyDescent="0.25">
      <c r="A19" s="129">
        <v>2</v>
      </c>
      <c r="B19" s="130" t="s">
        <v>202</v>
      </c>
      <c r="C19" s="149">
        <v>3884</v>
      </c>
      <c r="D19" s="149">
        <v>3884</v>
      </c>
      <c r="E19" s="101">
        <v>0</v>
      </c>
      <c r="F19" s="149">
        <v>9596</v>
      </c>
      <c r="G19" s="149">
        <v>9596</v>
      </c>
      <c r="H19" s="149">
        <v>0</v>
      </c>
      <c r="I19" s="151">
        <f t="shared" si="0"/>
        <v>247.06488156539649</v>
      </c>
      <c r="J19" s="151">
        <f t="shared" si="0"/>
        <v>247.06488156539649</v>
      </c>
      <c r="K19" s="151">
        <f t="shared" si="0"/>
        <v>0</v>
      </c>
      <c r="L19" s="142"/>
      <c r="M19" s="106"/>
    </row>
    <row r="20" spans="1:13" hidden="1" outlineLevel="1" x14ac:dyDescent="0.25">
      <c r="A20" s="129">
        <v>3</v>
      </c>
      <c r="B20" s="130" t="s">
        <v>71</v>
      </c>
      <c r="C20" s="149">
        <v>0</v>
      </c>
      <c r="D20" s="149">
        <v>0</v>
      </c>
      <c r="E20" s="101">
        <v>0</v>
      </c>
      <c r="F20" s="149">
        <v>7846.4539999999997</v>
      </c>
      <c r="G20" s="149"/>
      <c r="H20" s="149">
        <v>7846.4539999999997</v>
      </c>
      <c r="I20" s="151">
        <f t="shared" si="0"/>
        <v>0</v>
      </c>
      <c r="J20" s="151">
        <f t="shared" si="0"/>
        <v>0</v>
      </c>
      <c r="K20" s="151">
        <f t="shared" si="0"/>
        <v>0</v>
      </c>
      <c r="L20" s="142"/>
      <c r="M20" s="106"/>
    </row>
    <row r="21" spans="1:13" s="104" customFormat="1" collapsed="1" x14ac:dyDescent="0.25">
      <c r="A21" s="133" t="s">
        <v>25</v>
      </c>
      <c r="B21" s="126" t="s">
        <v>22</v>
      </c>
      <c r="C21" s="118">
        <v>4457168</v>
      </c>
      <c r="D21" s="118">
        <v>1636507</v>
      </c>
      <c r="E21" s="118">
        <v>2820661</v>
      </c>
      <c r="F21" s="118">
        <v>4776892.6441170005</v>
      </c>
      <c r="G21" s="118">
        <v>1707831.8377480002</v>
      </c>
      <c r="H21" s="118">
        <v>3069060.8063690001</v>
      </c>
      <c r="I21" s="147">
        <f t="shared" si="0"/>
        <v>107.17326885854428</v>
      </c>
      <c r="J21" s="147">
        <f t="shared" si="0"/>
        <v>104.35835824399165</v>
      </c>
      <c r="K21" s="147">
        <f t="shared" si="0"/>
        <v>108.80643956749853</v>
      </c>
      <c r="L21" s="142"/>
      <c r="M21" s="106"/>
    </row>
    <row r="22" spans="1:13" x14ac:dyDescent="0.25">
      <c r="A22" s="123"/>
      <c r="B22" s="153" t="s">
        <v>72</v>
      </c>
      <c r="C22" s="118">
        <v>0</v>
      </c>
      <c r="D22" s="149"/>
      <c r="E22" s="149"/>
      <c r="F22" s="149"/>
      <c r="G22" s="149"/>
      <c r="H22" s="149"/>
      <c r="I22" s="151">
        <f t="shared" si="0"/>
        <v>0</v>
      </c>
      <c r="J22" s="151">
        <f t="shared" si="0"/>
        <v>0</v>
      </c>
      <c r="K22" s="151">
        <f t="shared" si="0"/>
        <v>0</v>
      </c>
      <c r="L22" s="142"/>
      <c r="M22" s="106"/>
    </row>
    <row r="23" spans="1:13" s="160" customFormat="1" x14ac:dyDescent="0.25">
      <c r="A23" s="152">
        <v>1</v>
      </c>
      <c r="B23" s="153" t="s">
        <v>67</v>
      </c>
      <c r="C23" s="154">
        <v>1973977</v>
      </c>
      <c r="D23" s="154">
        <v>385819</v>
      </c>
      <c r="E23" s="154">
        <v>1588158</v>
      </c>
      <c r="F23" s="154">
        <v>2097483.4695000001</v>
      </c>
      <c r="G23" s="154">
        <v>408469.44099999999</v>
      </c>
      <c r="H23" s="154">
        <v>1689014.0285000002</v>
      </c>
      <c r="I23" s="157">
        <f t="shared" si="0"/>
        <v>106.25673295585511</v>
      </c>
      <c r="J23" s="157">
        <f t="shared" si="0"/>
        <v>105.87074275761432</v>
      </c>
      <c r="K23" s="157">
        <f t="shared" si="0"/>
        <v>106.35050344487138</v>
      </c>
      <c r="L23" s="158"/>
      <c r="M23" s="159"/>
    </row>
    <row r="24" spans="1:13" s="160" customFormat="1" x14ac:dyDescent="0.25">
      <c r="A24" s="152">
        <v>2</v>
      </c>
      <c r="B24" s="153" t="s">
        <v>68</v>
      </c>
      <c r="C24" s="154">
        <v>16442</v>
      </c>
      <c r="D24" s="154">
        <v>14942</v>
      </c>
      <c r="E24" s="154">
        <v>1500</v>
      </c>
      <c r="F24" s="161">
        <v>8845.6528870000002</v>
      </c>
      <c r="G24" s="154">
        <v>7464.5960569999997</v>
      </c>
      <c r="H24" s="154">
        <v>1381.0568300000004</v>
      </c>
      <c r="I24" s="157">
        <f t="shared" ref="I24:K107" si="1">IF(C24=0,0,F24/C24*100)</f>
        <v>53.799129588857809</v>
      </c>
      <c r="J24" s="157">
        <f t="shared" si="1"/>
        <v>49.95714132646232</v>
      </c>
      <c r="K24" s="157">
        <f t="shared" si="1"/>
        <v>92.070455333333371</v>
      </c>
      <c r="L24" s="158"/>
      <c r="M24" s="159"/>
    </row>
    <row r="25" spans="1:13" s="104" customFormat="1" ht="25.5" x14ac:dyDescent="0.25">
      <c r="A25" s="133" t="s">
        <v>29</v>
      </c>
      <c r="B25" s="126" t="s">
        <v>231</v>
      </c>
      <c r="C25" s="118">
        <v>2000</v>
      </c>
      <c r="D25" s="118">
        <v>2000</v>
      </c>
      <c r="E25" s="118">
        <v>0</v>
      </c>
      <c r="F25" s="118">
        <v>9500.851999999999</v>
      </c>
      <c r="G25" s="118">
        <v>9500.851999999999</v>
      </c>
      <c r="H25" s="118">
        <v>0</v>
      </c>
      <c r="I25" s="147">
        <f t="shared" si="1"/>
        <v>475.04259999999994</v>
      </c>
      <c r="J25" s="147">
        <f t="shared" si="1"/>
        <v>475.04259999999994</v>
      </c>
      <c r="K25" s="147">
        <f t="shared" si="1"/>
        <v>0</v>
      </c>
      <c r="L25" s="142"/>
      <c r="M25" s="106"/>
    </row>
    <row r="26" spans="1:13" s="104" customFormat="1" x14ac:dyDescent="0.25">
      <c r="A26" s="133" t="s">
        <v>56</v>
      </c>
      <c r="B26" s="126" t="s">
        <v>23</v>
      </c>
      <c r="C26" s="118">
        <v>1000</v>
      </c>
      <c r="D26" s="118">
        <v>1000</v>
      </c>
      <c r="E26" s="118">
        <v>0</v>
      </c>
      <c r="F26" s="118">
        <v>1000</v>
      </c>
      <c r="G26" s="118">
        <v>1000</v>
      </c>
      <c r="H26" s="118">
        <v>0</v>
      </c>
      <c r="I26" s="147">
        <f t="shared" si="1"/>
        <v>100</v>
      </c>
      <c r="J26" s="147">
        <f t="shared" si="1"/>
        <v>100</v>
      </c>
      <c r="K26" s="147">
        <f t="shared" si="1"/>
        <v>0</v>
      </c>
      <c r="L26" s="142"/>
      <c r="M26" s="106"/>
    </row>
    <row r="27" spans="1:13" s="104" customFormat="1" x14ac:dyDescent="0.25">
      <c r="A27" s="133" t="s">
        <v>73</v>
      </c>
      <c r="B27" s="126" t="s">
        <v>24</v>
      </c>
      <c r="C27" s="118">
        <v>126345</v>
      </c>
      <c r="D27" s="118">
        <v>66785</v>
      </c>
      <c r="E27" s="118">
        <v>59560</v>
      </c>
      <c r="F27" s="118"/>
      <c r="G27" s="118"/>
      <c r="H27" s="118"/>
      <c r="I27" s="147">
        <f t="shared" si="1"/>
        <v>0</v>
      </c>
      <c r="J27" s="147">
        <f t="shared" si="1"/>
        <v>0</v>
      </c>
      <c r="K27" s="147">
        <f t="shared" si="1"/>
        <v>0</v>
      </c>
      <c r="L27" s="142"/>
      <c r="M27" s="106"/>
    </row>
    <row r="28" spans="1:13" s="104" customFormat="1" ht="76.5" x14ac:dyDescent="0.25">
      <c r="A28" s="131" t="s">
        <v>74</v>
      </c>
      <c r="B28" s="132" t="s">
        <v>436</v>
      </c>
      <c r="C28" s="118">
        <v>789492</v>
      </c>
      <c r="D28" s="118">
        <v>789492</v>
      </c>
      <c r="E28" s="118">
        <v>0</v>
      </c>
      <c r="F28" s="118">
        <v>51310</v>
      </c>
      <c r="G28" s="118">
        <v>51310</v>
      </c>
      <c r="H28" s="118">
        <v>0</v>
      </c>
      <c r="I28" s="147"/>
      <c r="J28" s="147">
        <f t="shared" si="1"/>
        <v>6.4991158871780836</v>
      </c>
      <c r="K28" s="147"/>
      <c r="L28" s="142"/>
      <c r="M28" s="106"/>
    </row>
    <row r="29" spans="1:13" s="104" customFormat="1" x14ac:dyDescent="0.25">
      <c r="A29" s="131" t="s">
        <v>383</v>
      </c>
      <c r="B29" s="132" t="s">
        <v>425</v>
      </c>
      <c r="C29" s="118">
        <v>39000</v>
      </c>
      <c r="D29" s="118">
        <v>39000</v>
      </c>
      <c r="E29" s="118">
        <v>0</v>
      </c>
      <c r="F29" s="162">
        <v>0</v>
      </c>
      <c r="G29" s="139">
        <v>0</v>
      </c>
      <c r="H29" s="139">
        <v>0</v>
      </c>
      <c r="I29" s="147">
        <f t="shared" si="1"/>
        <v>0</v>
      </c>
      <c r="J29" s="147">
        <f t="shared" si="1"/>
        <v>0</v>
      </c>
      <c r="K29" s="147">
        <f t="shared" si="1"/>
        <v>0</v>
      </c>
      <c r="L29" s="142"/>
      <c r="M29" s="106"/>
    </row>
    <row r="30" spans="1:13" s="104" customFormat="1" x14ac:dyDescent="0.25">
      <c r="A30" s="131" t="s">
        <v>384</v>
      </c>
      <c r="B30" s="132" t="s">
        <v>437</v>
      </c>
      <c r="C30" s="118">
        <v>0</v>
      </c>
      <c r="D30" s="118"/>
      <c r="E30" s="118">
        <v>0</v>
      </c>
      <c r="F30" s="162">
        <v>11899.7</v>
      </c>
      <c r="G30" s="139">
        <v>11899.7</v>
      </c>
      <c r="H30" s="139">
        <v>0</v>
      </c>
      <c r="I30" s="147">
        <f t="shared" si="1"/>
        <v>0</v>
      </c>
      <c r="J30" s="147">
        <f t="shared" si="1"/>
        <v>0</v>
      </c>
      <c r="K30" s="147">
        <f t="shared" si="1"/>
        <v>0</v>
      </c>
      <c r="L30" s="142"/>
      <c r="M30" s="106"/>
    </row>
    <row r="31" spans="1:13" s="104" customFormat="1" x14ac:dyDescent="0.25">
      <c r="A31" s="133" t="s">
        <v>242</v>
      </c>
      <c r="B31" s="126" t="s">
        <v>243</v>
      </c>
      <c r="C31" s="118">
        <v>83900</v>
      </c>
      <c r="D31" s="146">
        <v>83900</v>
      </c>
      <c r="E31" s="118">
        <v>0</v>
      </c>
      <c r="F31" s="162">
        <v>19277.513097000003</v>
      </c>
      <c r="G31" s="139">
        <v>19277.513097000003</v>
      </c>
      <c r="H31" s="139">
        <v>0</v>
      </c>
      <c r="I31" s="147">
        <f t="shared" si="1"/>
        <v>22.976773655542317</v>
      </c>
      <c r="J31" s="147">
        <f t="shared" si="1"/>
        <v>22.976773655542317</v>
      </c>
      <c r="K31" s="147">
        <f t="shared" si="1"/>
        <v>0</v>
      </c>
      <c r="L31" s="142"/>
      <c r="M31" s="106"/>
    </row>
    <row r="32" spans="1:13" x14ac:dyDescent="0.25">
      <c r="A32" s="133" t="s">
        <v>8</v>
      </c>
      <c r="B32" s="126" t="s">
        <v>75</v>
      </c>
      <c r="C32" s="118">
        <v>1441140</v>
      </c>
      <c r="D32" s="118">
        <v>1377570</v>
      </c>
      <c r="E32" s="118">
        <v>63570</v>
      </c>
      <c r="F32" s="118">
        <v>1589410.533905</v>
      </c>
      <c r="G32" s="118">
        <v>1519875.9024049998</v>
      </c>
      <c r="H32" s="118">
        <v>69534.631499999989</v>
      </c>
      <c r="I32" s="147">
        <f t="shared" si="1"/>
        <v>110.28841985546165</v>
      </c>
      <c r="J32" s="147">
        <f t="shared" si="1"/>
        <v>110.33021206944112</v>
      </c>
      <c r="K32" s="147">
        <f t="shared" si="1"/>
        <v>109.38277725342141</v>
      </c>
      <c r="L32" s="142"/>
      <c r="M32" s="106"/>
    </row>
    <row r="33" spans="1:13" x14ac:dyDescent="0.25">
      <c r="A33" s="133" t="s">
        <v>39</v>
      </c>
      <c r="B33" s="126" t="s">
        <v>27</v>
      </c>
      <c r="C33" s="118">
        <v>0</v>
      </c>
      <c r="D33" s="118"/>
      <c r="E33" s="118">
        <v>0</v>
      </c>
      <c r="F33" s="118">
        <v>43796.432468999992</v>
      </c>
      <c r="G33" s="118">
        <v>37058.607468999995</v>
      </c>
      <c r="H33" s="118">
        <v>6737.8249999999998</v>
      </c>
      <c r="I33" s="147">
        <f t="shared" si="1"/>
        <v>0</v>
      </c>
      <c r="J33" s="147">
        <f t="shared" si="1"/>
        <v>0</v>
      </c>
      <c r="K33" s="147">
        <f t="shared" si="1"/>
        <v>0</v>
      </c>
      <c r="L33" s="142"/>
      <c r="M33" s="106"/>
    </row>
    <row r="34" spans="1:13" x14ac:dyDescent="0.25">
      <c r="A34" s="123">
        <v>1</v>
      </c>
      <c r="B34" s="124" t="s">
        <v>203</v>
      </c>
      <c r="C34" s="118">
        <v>0</v>
      </c>
      <c r="D34" s="149"/>
      <c r="E34" s="118"/>
      <c r="F34" s="149">
        <v>7095.7290000000003</v>
      </c>
      <c r="G34" s="149">
        <v>488</v>
      </c>
      <c r="H34" s="149">
        <v>6607.7290000000003</v>
      </c>
      <c r="I34" s="151">
        <f t="shared" si="1"/>
        <v>0</v>
      </c>
      <c r="J34" s="151">
        <f t="shared" si="1"/>
        <v>0</v>
      </c>
      <c r="K34" s="151">
        <f t="shared" si="1"/>
        <v>0</v>
      </c>
      <c r="L34" s="142"/>
      <c r="M34" s="106"/>
    </row>
    <row r="35" spans="1:13" x14ac:dyDescent="0.25">
      <c r="A35" s="123">
        <v>2</v>
      </c>
      <c r="B35" s="124" t="s">
        <v>204</v>
      </c>
      <c r="C35" s="118">
        <v>0</v>
      </c>
      <c r="D35" s="149"/>
      <c r="E35" s="118"/>
      <c r="F35" s="149">
        <v>36700.703468999993</v>
      </c>
      <c r="G35" s="149">
        <v>36570.607468999995</v>
      </c>
      <c r="H35" s="149">
        <v>130.09599999999949</v>
      </c>
      <c r="I35" s="151">
        <f t="shared" si="1"/>
        <v>0</v>
      </c>
      <c r="J35" s="151">
        <f t="shared" si="1"/>
        <v>0</v>
      </c>
      <c r="K35" s="151">
        <f t="shared" si="1"/>
        <v>0</v>
      </c>
      <c r="L35" s="142"/>
      <c r="M35" s="106"/>
    </row>
    <row r="36" spans="1:13" x14ac:dyDescent="0.25">
      <c r="A36" s="133" t="s">
        <v>25</v>
      </c>
      <c r="B36" s="126" t="s">
        <v>205</v>
      </c>
      <c r="C36" s="118">
        <v>1441140</v>
      </c>
      <c r="D36" s="118">
        <v>1377570</v>
      </c>
      <c r="E36" s="118">
        <v>63570</v>
      </c>
      <c r="F36" s="118">
        <v>1545614.1014359999</v>
      </c>
      <c r="G36" s="118">
        <v>1482817.2949359999</v>
      </c>
      <c r="H36" s="118">
        <v>62796.806499999992</v>
      </c>
      <c r="I36" s="147">
        <f t="shared" si="1"/>
        <v>107.24940681932358</v>
      </c>
      <c r="J36" s="147">
        <f t="shared" si="1"/>
        <v>107.64006873959218</v>
      </c>
      <c r="K36" s="147">
        <f t="shared" si="1"/>
        <v>98.783713229510766</v>
      </c>
      <c r="L36" s="142"/>
      <c r="M36" s="106"/>
    </row>
    <row r="37" spans="1:13" x14ac:dyDescent="0.25">
      <c r="A37" s="131" t="s">
        <v>206</v>
      </c>
      <c r="B37" s="132" t="s">
        <v>207</v>
      </c>
      <c r="C37" s="118">
        <v>1234788</v>
      </c>
      <c r="D37" s="118">
        <v>1234788</v>
      </c>
      <c r="E37" s="118">
        <v>0</v>
      </c>
      <c r="F37" s="118">
        <v>1352597.853684</v>
      </c>
      <c r="G37" s="118">
        <v>1352597.853684</v>
      </c>
      <c r="H37" s="118">
        <v>0</v>
      </c>
      <c r="I37" s="147">
        <f t="shared" si="1"/>
        <v>109.54089719725167</v>
      </c>
      <c r="J37" s="147">
        <f t="shared" si="1"/>
        <v>109.54089719725167</v>
      </c>
      <c r="K37" s="147">
        <f t="shared" si="1"/>
        <v>0</v>
      </c>
      <c r="L37" s="142"/>
      <c r="M37" s="106"/>
    </row>
    <row r="38" spans="1:13" hidden="1" outlineLevel="1" x14ac:dyDescent="0.25">
      <c r="A38" s="131">
        <v>1</v>
      </c>
      <c r="B38" s="132" t="s">
        <v>145</v>
      </c>
      <c r="C38" s="118">
        <v>386030</v>
      </c>
      <c r="D38" s="118">
        <v>386030</v>
      </c>
      <c r="E38" s="118">
        <v>0</v>
      </c>
      <c r="F38" s="118">
        <v>370724.38072699995</v>
      </c>
      <c r="G38" s="118">
        <v>370724.38072699995</v>
      </c>
      <c r="H38" s="118"/>
      <c r="I38" s="147"/>
      <c r="J38" s="147"/>
      <c r="K38" s="147"/>
      <c r="L38" s="142"/>
      <c r="M38" s="106"/>
    </row>
    <row r="39" spans="1:13" hidden="1" outlineLevel="1" x14ac:dyDescent="0.25">
      <c r="A39" s="131" t="s">
        <v>78</v>
      </c>
      <c r="B39" s="132" t="s">
        <v>438</v>
      </c>
      <c r="C39" s="118">
        <v>0</v>
      </c>
      <c r="D39" s="118"/>
      <c r="E39" s="118">
        <v>0</v>
      </c>
      <c r="F39" s="118">
        <v>199806.565</v>
      </c>
      <c r="G39" s="118">
        <v>199806.565</v>
      </c>
      <c r="H39" s="118"/>
      <c r="I39" s="147"/>
      <c r="J39" s="147"/>
      <c r="K39" s="147"/>
      <c r="L39" s="142"/>
      <c r="M39" s="106"/>
    </row>
    <row r="40" spans="1:13" ht="25.5" hidden="1" outlineLevel="1" x14ac:dyDescent="0.25">
      <c r="A40" s="123" t="s">
        <v>12</v>
      </c>
      <c r="B40" s="163" t="s">
        <v>225</v>
      </c>
      <c r="C40" s="149">
        <v>0</v>
      </c>
      <c r="D40" s="149"/>
      <c r="E40" s="149">
        <v>0</v>
      </c>
      <c r="F40" s="149">
        <v>195985.905</v>
      </c>
      <c r="G40" s="149">
        <v>195985.905</v>
      </c>
      <c r="H40" s="149"/>
      <c r="I40" s="151"/>
      <c r="J40" s="151"/>
      <c r="K40" s="151"/>
      <c r="L40" s="142"/>
      <c r="M40" s="106"/>
    </row>
    <row r="41" spans="1:13" ht="25.5" hidden="1" outlineLevel="1" x14ac:dyDescent="0.25">
      <c r="A41" s="123" t="s">
        <v>12</v>
      </c>
      <c r="B41" s="164" t="s">
        <v>439</v>
      </c>
      <c r="C41" s="149">
        <v>0</v>
      </c>
      <c r="D41" s="149"/>
      <c r="E41" s="149">
        <v>0</v>
      </c>
      <c r="F41" s="149">
        <v>3820.66</v>
      </c>
      <c r="G41" s="149">
        <v>3820.66</v>
      </c>
      <c r="H41" s="149"/>
      <c r="I41" s="151"/>
      <c r="J41" s="151"/>
      <c r="K41" s="151"/>
      <c r="L41" s="142"/>
      <c r="M41" s="106"/>
    </row>
    <row r="42" spans="1:13" hidden="1" outlineLevel="1" x14ac:dyDescent="0.25">
      <c r="A42" s="131" t="s">
        <v>79</v>
      </c>
      <c r="B42" s="132" t="s">
        <v>440</v>
      </c>
      <c r="C42" s="118">
        <v>386030</v>
      </c>
      <c r="D42" s="118">
        <v>386030</v>
      </c>
      <c r="E42" s="118">
        <v>0</v>
      </c>
      <c r="F42" s="118">
        <v>170917.81572699998</v>
      </c>
      <c r="G42" s="118">
        <v>170917.81572699998</v>
      </c>
      <c r="H42" s="118"/>
      <c r="I42" s="147"/>
      <c r="J42" s="147"/>
      <c r="K42" s="147"/>
      <c r="L42" s="142"/>
      <c r="M42" s="106"/>
    </row>
    <row r="43" spans="1:13" ht="25.5" hidden="1" outlineLevel="1" x14ac:dyDescent="0.25">
      <c r="A43" s="123" t="s">
        <v>12</v>
      </c>
      <c r="B43" s="163" t="s">
        <v>441</v>
      </c>
      <c r="C43" s="149">
        <v>35904</v>
      </c>
      <c r="D43" s="149">
        <v>35904</v>
      </c>
      <c r="E43" s="149">
        <v>0</v>
      </c>
      <c r="F43" s="149">
        <v>22279.692595</v>
      </c>
      <c r="G43" s="149">
        <v>22279.692595</v>
      </c>
      <c r="H43" s="149"/>
      <c r="I43" s="151"/>
      <c r="J43" s="151"/>
      <c r="K43" s="151"/>
      <c r="L43" s="142"/>
      <c r="M43" s="106"/>
    </row>
    <row r="44" spans="1:13" hidden="1" outlineLevel="1" x14ac:dyDescent="0.25">
      <c r="A44" s="123" t="s">
        <v>12</v>
      </c>
      <c r="B44" s="165" t="s">
        <v>442</v>
      </c>
      <c r="C44" s="149">
        <v>46980</v>
      </c>
      <c r="D44" s="149">
        <v>46980</v>
      </c>
      <c r="E44" s="149">
        <v>0</v>
      </c>
      <c r="F44" s="149">
        <v>38692.844313000001</v>
      </c>
      <c r="G44" s="149">
        <v>38692.844313000001</v>
      </c>
      <c r="H44" s="149"/>
      <c r="I44" s="151"/>
      <c r="J44" s="151"/>
      <c r="K44" s="151"/>
      <c r="L44" s="142"/>
      <c r="M44" s="106"/>
    </row>
    <row r="45" spans="1:13" ht="25.5" hidden="1" outlineLevel="1" x14ac:dyDescent="0.25">
      <c r="A45" s="123" t="s">
        <v>12</v>
      </c>
      <c r="B45" s="166" t="s">
        <v>443</v>
      </c>
      <c r="C45" s="149">
        <v>224000</v>
      </c>
      <c r="D45" s="149">
        <v>224000</v>
      </c>
      <c r="E45" s="149">
        <v>0</v>
      </c>
      <c r="F45" s="149">
        <v>83489.148786999998</v>
      </c>
      <c r="G45" s="149">
        <v>83489.148786999998</v>
      </c>
      <c r="H45" s="149"/>
      <c r="I45" s="151"/>
      <c r="J45" s="151"/>
      <c r="K45" s="151"/>
      <c r="L45" s="142"/>
      <c r="M45" s="106"/>
    </row>
    <row r="46" spans="1:13" ht="38.25" hidden="1" outlineLevel="1" x14ac:dyDescent="0.25">
      <c r="A46" s="123" t="s">
        <v>12</v>
      </c>
      <c r="B46" s="164" t="s">
        <v>444</v>
      </c>
      <c r="C46" s="149">
        <v>79146</v>
      </c>
      <c r="D46" s="149">
        <v>79146</v>
      </c>
      <c r="E46" s="149">
        <v>0</v>
      </c>
      <c r="F46" s="149">
        <v>26456.130031999997</v>
      </c>
      <c r="G46" s="149">
        <v>26456.130031999997</v>
      </c>
      <c r="H46" s="149"/>
      <c r="I46" s="151"/>
      <c r="J46" s="151"/>
      <c r="K46" s="151"/>
      <c r="L46" s="142"/>
      <c r="M46" s="106"/>
    </row>
    <row r="47" spans="1:13" ht="25.5" hidden="1" outlineLevel="1" x14ac:dyDescent="0.25">
      <c r="A47" s="131" t="s">
        <v>445</v>
      </c>
      <c r="B47" s="134" t="s">
        <v>446</v>
      </c>
      <c r="C47" s="118">
        <v>0</v>
      </c>
      <c r="D47" s="118"/>
      <c r="E47" s="118">
        <v>0</v>
      </c>
      <c r="F47" s="118">
        <v>10254.152539000001</v>
      </c>
      <c r="G47" s="118">
        <v>10254.152539000001</v>
      </c>
      <c r="H47" s="118"/>
      <c r="I47" s="147"/>
      <c r="J47" s="147"/>
      <c r="K47" s="147"/>
      <c r="L47" s="142"/>
      <c r="M47" s="106"/>
    </row>
    <row r="48" spans="1:13" hidden="1" outlineLevel="1" x14ac:dyDescent="0.25">
      <c r="A48" s="123" t="s">
        <v>12</v>
      </c>
      <c r="B48" s="165" t="s">
        <v>442</v>
      </c>
      <c r="C48" s="149">
        <v>0</v>
      </c>
      <c r="D48" s="149"/>
      <c r="E48" s="149">
        <v>0</v>
      </c>
      <c r="F48" s="149">
        <v>1227.0024410000005</v>
      </c>
      <c r="G48" s="149">
        <v>1227.0024410000005</v>
      </c>
      <c r="H48" s="149"/>
      <c r="I48" s="151"/>
      <c r="J48" s="151"/>
      <c r="K48" s="151"/>
      <c r="L48" s="142"/>
      <c r="M48" s="106"/>
    </row>
    <row r="49" spans="1:13" ht="25.5" hidden="1" outlineLevel="1" x14ac:dyDescent="0.25">
      <c r="A49" s="123" t="s">
        <v>12</v>
      </c>
      <c r="B49" s="166" t="s">
        <v>443</v>
      </c>
      <c r="C49" s="149">
        <v>0</v>
      </c>
      <c r="D49" s="149"/>
      <c r="E49" s="149">
        <v>0</v>
      </c>
      <c r="F49" s="149">
        <v>8571.2636870000006</v>
      </c>
      <c r="G49" s="149">
        <v>8571.2636870000006</v>
      </c>
      <c r="H49" s="149"/>
      <c r="I49" s="151"/>
      <c r="J49" s="151"/>
      <c r="K49" s="151"/>
      <c r="L49" s="142"/>
      <c r="M49" s="106"/>
    </row>
    <row r="50" spans="1:13" ht="25.5" hidden="1" outlineLevel="1" x14ac:dyDescent="0.25">
      <c r="A50" s="123" t="s">
        <v>12</v>
      </c>
      <c r="B50" s="163" t="s">
        <v>441</v>
      </c>
      <c r="C50" s="149">
        <v>0</v>
      </c>
      <c r="D50" s="149"/>
      <c r="E50" s="149">
        <v>0</v>
      </c>
      <c r="F50" s="149">
        <v>455.88641100000001</v>
      </c>
      <c r="G50" s="149">
        <v>455.88641100000001</v>
      </c>
      <c r="H50" s="149"/>
      <c r="I50" s="151"/>
      <c r="J50" s="151"/>
      <c r="K50" s="151"/>
      <c r="L50" s="142"/>
      <c r="M50" s="106"/>
    </row>
    <row r="51" spans="1:13" hidden="1" outlineLevel="1" x14ac:dyDescent="0.25">
      <c r="A51" s="131" t="s">
        <v>447</v>
      </c>
      <c r="B51" s="132" t="s">
        <v>127</v>
      </c>
      <c r="C51" s="118">
        <v>848758</v>
      </c>
      <c r="D51" s="118">
        <v>848758</v>
      </c>
      <c r="E51" s="118">
        <v>0</v>
      </c>
      <c r="F51" s="118">
        <v>971619.3204180001</v>
      </c>
      <c r="G51" s="118">
        <v>971619.3204180001</v>
      </c>
      <c r="H51" s="118"/>
      <c r="I51" s="147"/>
      <c r="J51" s="147"/>
      <c r="K51" s="147"/>
      <c r="L51" s="142"/>
      <c r="M51" s="106"/>
    </row>
    <row r="52" spans="1:13" hidden="1" outlineLevel="1" x14ac:dyDescent="0.25">
      <c r="A52" s="131" t="s">
        <v>448</v>
      </c>
      <c r="B52" s="132" t="s">
        <v>449</v>
      </c>
      <c r="C52" s="118">
        <v>848758</v>
      </c>
      <c r="D52" s="118">
        <v>848758</v>
      </c>
      <c r="E52" s="118">
        <v>0</v>
      </c>
      <c r="F52" s="118">
        <v>892690.55371300015</v>
      </c>
      <c r="G52" s="118">
        <v>892690.55371300015</v>
      </c>
      <c r="H52" s="118"/>
      <c r="I52" s="147"/>
      <c r="J52" s="147"/>
      <c r="K52" s="147"/>
      <c r="L52" s="142"/>
      <c r="M52" s="106"/>
    </row>
    <row r="53" spans="1:13" hidden="1" outlineLevel="1" x14ac:dyDescent="0.25">
      <c r="A53" s="123" t="s">
        <v>12</v>
      </c>
      <c r="B53" s="163" t="s">
        <v>450</v>
      </c>
      <c r="C53" s="149">
        <v>476376</v>
      </c>
      <c r="D53" s="149">
        <v>476376</v>
      </c>
      <c r="E53" s="149">
        <v>0</v>
      </c>
      <c r="F53" s="149">
        <v>294180.01506100001</v>
      </c>
      <c r="G53" s="149">
        <v>294180.01506100001</v>
      </c>
      <c r="H53" s="149"/>
      <c r="I53" s="151"/>
      <c r="J53" s="151"/>
      <c r="K53" s="151"/>
      <c r="L53" s="142"/>
      <c r="M53" s="106"/>
    </row>
    <row r="54" spans="1:13" hidden="1" outlineLevel="1" x14ac:dyDescent="0.25">
      <c r="A54" s="123" t="s">
        <v>12</v>
      </c>
      <c r="B54" s="124" t="s">
        <v>451</v>
      </c>
      <c r="C54" s="149">
        <v>99426.442999999999</v>
      </c>
      <c r="D54" s="149">
        <v>99426.442999999999</v>
      </c>
      <c r="E54" s="149">
        <v>0</v>
      </c>
      <c r="F54" s="149">
        <v>92597.739499999996</v>
      </c>
      <c r="G54" s="149">
        <v>92597.739499999996</v>
      </c>
      <c r="H54" s="149"/>
      <c r="I54" s="151"/>
      <c r="J54" s="151"/>
      <c r="K54" s="151"/>
      <c r="L54" s="142"/>
      <c r="M54" s="106"/>
    </row>
    <row r="55" spans="1:13" hidden="1" outlineLevel="1" x14ac:dyDescent="0.25">
      <c r="A55" s="123" t="s">
        <v>12</v>
      </c>
      <c r="B55" s="124" t="s">
        <v>452</v>
      </c>
      <c r="C55" s="149">
        <v>7611</v>
      </c>
      <c r="D55" s="149">
        <v>7611</v>
      </c>
      <c r="E55" s="149">
        <v>0</v>
      </c>
      <c r="F55" s="149">
        <v>7646.2980950000001</v>
      </c>
      <c r="G55" s="149">
        <v>7646.2980950000001</v>
      </c>
      <c r="H55" s="149"/>
      <c r="I55" s="151"/>
      <c r="J55" s="151"/>
      <c r="K55" s="151"/>
      <c r="L55" s="142"/>
      <c r="M55" s="106"/>
    </row>
    <row r="56" spans="1:13" ht="25.5" hidden="1" outlineLevel="1" x14ac:dyDescent="0.25">
      <c r="A56" s="123" t="s">
        <v>12</v>
      </c>
      <c r="B56" s="124" t="s">
        <v>453</v>
      </c>
      <c r="C56" s="149">
        <v>110900</v>
      </c>
      <c r="D56" s="149">
        <v>110900</v>
      </c>
      <c r="E56" s="149">
        <v>0</v>
      </c>
      <c r="F56" s="149">
        <v>26410.048000000003</v>
      </c>
      <c r="G56" s="149">
        <v>26410.048000000003</v>
      </c>
      <c r="H56" s="149"/>
      <c r="I56" s="151"/>
      <c r="J56" s="151"/>
      <c r="K56" s="151"/>
      <c r="L56" s="142"/>
      <c r="M56" s="106"/>
    </row>
    <row r="57" spans="1:13" hidden="1" outlineLevel="1" x14ac:dyDescent="0.25">
      <c r="A57" s="123" t="s">
        <v>12</v>
      </c>
      <c r="B57" s="124" t="s">
        <v>454</v>
      </c>
      <c r="C57" s="149">
        <v>126532.557</v>
      </c>
      <c r="D57" s="149">
        <v>126532.557</v>
      </c>
      <c r="E57" s="149">
        <v>0</v>
      </c>
      <c r="F57" s="149">
        <v>106283.64799999999</v>
      </c>
      <c r="G57" s="149">
        <v>106283.64799999999</v>
      </c>
      <c r="H57" s="149"/>
      <c r="I57" s="151"/>
      <c r="J57" s="151"/>
      <c r="K57" s="151"/>
      <c r="L57" s="142"/>
      <c r="M57" s="106"/>
    </row>
    <row r="58" spans="1:13" hidden="1" outlineLevel="1" x14ac:dyDescent="0.25">
      <c r="A58" s="123" t="s">
        <v>12</v>
      </c>
      <c r="B58" s="163" t="s">
        <v>455</v>
      </c>
      <c r="C58" s="149">
        <v>700</v>
      </c>
      <c r="D58" s="149">
        <v>700</v>
      </c>
      <c r="E58" s="149">
        <v>0</v>
      </c>
      <c r="F58" s="149">
        <v>0</v>
      </c>
      <c r="G58" s="149">
        <v>0</v>
      </c>
      <c r="H58" s="149"/>
      <c r="I58" s="151"/>
      <c r="J58" s="151"/>
      <c r="K58" s="151"/>
      <c r="L58" s="142"/>
      <c r="M58" s="106"/>
    </row>
    <row r="59" spans="1:13" hidden="1" outlineLevel="1" x14ac:dyDescent="0.25">
      <c r="A59" s="123" t="s">
        <v>12</v>
      </c>
      <c r="B59" s="163" t="s">
        <v>456</v>
      </c>
      <c r="C59" s="149">
        <v>27212</v>
      </c>
      <c r="D59" s="149">
        <v>27212</v>
      </c>
      <c r="E59" s="149">
        <v>0</v>
      </c>
      <c r="F59" s="149">
        <v>3168.8610000000008</v>
      </c>
      <c r="G59" s="149">
        <v>3168.8610000000008</v>
      </c>
      <c r="H59" s="149"/>
      <c r="I59" s="151"/>
      <c r="J59" s="151"/>
      <c r="K59" s="151"/>
      <c r="L59" s="142"/>
      <c r="M59" s="106"/>
    </row>
    <row r="60" spans="1:13" ht="25.5" hidden="1" outlineLevel="1" x14ac:dyDescent="0.25">
      <c r="A60" s="123" t="s">
        <v>12</v>
      </c>
      <c r="B60" s="163" t="s">
        <v>457</v>
      </c>
      <c r="C60" s="149">
        <v>0</v>
      </c>
      <c r="D60" s="149"/>
      <c r="E60" s="149">
        <v>0</v>
      </c>
      <c r="F60" s="149">
        <v>83092.604460000002</v>
      </c>
      <c r="G60" s="149">
        <v>83092.604460000002</v>
      </c>
      <c r="H60" s="149"/>
      <c r="I60" s="151"/>
      <c r="J60" s="151"/>
      <c r="K60" s="151"/>
      <c r="L60" s="142"/>
      <c r="M60" s="106"/>
    </row>
    <row r="61" spans="1:13" ht="25.5" hidden="1" outlineLevel="1" x14ac:dyDescent="0.25">
      <c r="A61" s="123" t="s">
        <v>12</v>
      </c>
      <c r="B61" s="124" t="s">
        <v>458</v>
      </c>
      <c r="C61" s="149">
        <v>0</v>
      </c>
      <c r="D61" s="149"/>
      <c r="E61" s="149">
        <v>0</v>
      </c>
      <c r="F61" s="149">
        <v>800.58470499999999</v>
      </c>
      <c r="G61" s="149">
        <v>800.58470499999999</v>
      </c>
      <c r="H61" s="149"/>
      <c r="I61" s="151"/>
      <c r="J61" s="151"/>
      <c r="K61" s="151"/>
      <c r="L61" s="142"/>
      <c r="M61" s="106"/>
    </row>
    <row r="62" spans="1:13" ht="25.5" hidden="1" outlineLevel="1" x14ac:dyDescent="0.25">
      <c r="A62" s="123" t="s">
        <v>12</v>
      </c>
      <c r="B62" s="124" t="s">
        <v>459</v>
      </c>
      <c r="C62" s="149">
        <v>0</v>
      </c>
      <c r="D62" s="149"/>
      <c r="E62" s="149">
        <v>0</v>
      </c>
      <c r="F62" s="149">
        <v>21749.041000000001</v>
      </c>
      <c r="G62" s="149">
        <v>21749.041000000001</v>
      </c>
      <c r="H62" s="149"/>
      <c r="I62" s="151"/>
      <c r="J62" s="151"/>
      <c r="K62" s="151"/>
      <c r="L62" s="142"/>
      <c r="M62" s="106"/>
    </row>
    <row r="63" spans="1:13" ht="25.5" hidden="1" outlineLevel="1" x14ac:dyDescent="0.25">
      <c r="A63" s="123" t="s">
        <v>12</v>
      </c>
      <c r="B63" s="124" t="s">
        <v>460</v>
      </c>
      <c r="C63" s="149">
        <v>0</v>
      </c>
      <c r="D63" s="149"/>
      <c r="E63" s="149">
        <v>0</v>
      </c>
      <c r="F63" s="149">
        <v>146211.486107</v>
      </c>
      <c r="G63" s="149">
        <v>146211.486107</v>
      </c>
      <c r="H63" s="149"/>
      <c r="I63" s="151"/>
      <c r="J63" s="151"/>
      <c r="K63" s="151"/>
      <c r="L63" s="142"/>
      <c r="M63" s="106"/>
    </row>
    <row r="64" spans="1:13" hidden="1" outlineLevel="1" x14ac:dyDescent="0.25">
      <c r="A64" s="123" t="s">
        <v>12</v>
      </c>
      <c r="B64" s="163" t="s">
        <v>461</v>
      </c>
      <c r="C64" s="149">
        <v>0</v>
      </c>
      <c r="D64" s="149"/>
      <c r="E64" s="149">
        <v>0</v>
      </c>
      <c r="F64" s="149">
        <v>99999.273000000001</v>
      </c>
      <c r="G64" s="149">
        <v>99999.273000000001</v>
      </c>
      <c r="H64" s="149"/>
      <c r="I64" s="151"/>
      <c r="J64" s="151"/>
      <c r="K64" s="151"/>
      <c r="L64" s="142"/>
      <c r="M64" s="106"/>
    </row>
    <row r="65" spans="1:13" hidden="1" outlineLevel="1" x14ac:dyDescent="0.25">
      <c r="A65" s="123" t="s">
        <v>12</v>
      </c>
      <c r="B65" s="163" t="s">
        <v>462</v>
      </c>
      <c r="C65" s="149">
        <v>0</v>
      </c>
      <c r="D65" s="149"/>
      <c r="E65" s="149">
        <v>0</v>
      </c>
      <c r="F65" s="149">
        <v>10550.954785000002</v>
      </c>
      <c r="G65" s="149">
        <v>10550.954785000002</v>
      </c>
      <c r="H65" s="149"/>
      <c r="I65" s="151"/>
      <c r="J65" s="151"/>
      <c r="K65" s="151"/>
      <c r="L65" s="142"/>
      <c r="M65" s="106"/>
    </row>
    <row r="66" spans="1:13" hidden="1" outlineLevel="1" x14ac:dyDescent="0.25">
      <c r="A66" s="131" t="s">
        <v>144</v>
      </c>
      <c r="B66" s="132" t="s">
        <v>463</v>
      </c>
      <c r="C66" s="118">
        <v>0</v>
      </c>
      <c r="D66" s="118"/>
      <c r="E66" s="118">
        <v>0</v>
      </c>
      <c r="F66" s="118">
        <v>78928.766705000002</v>
      </c>
      <c r="G66" s="118">
        <v>78928.766705000002</v>
      </c>
      <c r="H66" s="118"/>
      <c r="I66" s="147"/>
      <c r="J66" s="147"/>
      <c r="K66" s="147"/>
      <c r="L66" s="142"/>
      <c r="M66" s="106"/>
    </row>
    <row r="67" spans="1:13" hidden="1" outlineLevel="1" x14ac:dyDescent="0.25">
      <c r="A67" s="123" t="s">
        <v>12</v>
      </c>
      <c r="B67" s="163" t="s">
        <v>464</v>
      </c>
      <c r="C67" s="149">
        <v>0</v>
      </c>
      <c r="D67" s="149"/>
      <c r="E67" s="149">
        <v>0</v>
      </c>
      <c r="F67" s="149">
        <v>78928.766705000002</v>
      </c>
      <c r="G67" s="149">
        <v>78928.766705000002</v>
      </c>
      <c r="H67" s="149"/>
      <c r="I67" s="151"/>
      <c r="J67" s="151"/>
      <c r="K67" s="151"/>
      <c r="L67" s="142"/>
      <c r="M67" s="106"/>
    </row>
    <row r="68" spans="1:13" hidden="1" outlineLevel="1" x14ac:dyDescent="0.25">
      <c r="A68" s="123"/>
      <c r="B68" s="124" t="s">
        <v>465</v>
      </c>
      <c r="C68" s="149">
        <v>0</v>
      </c>
      <c r="D68" s="149"/>
      <c r="E68" s="149">
        <v>0</v>
      </c>
      <c r="F68" s="149">
        <v>0</v>
      </c>
      <c r="G68" s="149"/>
      <c r="H68" s="149"/>
      <c r="I68" s="151"/>
      <c r="J68" s="151"/>
      <c r="K68" s="151"/>
      <c r="L68" s="142"/>
      <c r="M68" s="106"/>
    </row>
    <row r="69" spans="1:13" collapsed="1" x14ac:dyDescent="0.25">
      <c r="A69" s="133" t="s">
        <v>208</v>
      </c>
      <c r="B69" s="126" t="s">
        <v>209</v>
      </c>
      <c r="C69" s="118">
        <v>206352</v>
      </c>
      <c r="D69" s="118">
        <v>142782</v>
      </c>
      <c r="E69" s="118">
        <v>63570</v>
      </c>
      <c r="F69" s="118">
        <v>193016.24775199997</v>
      </c>
      <c r="G69" s="118">
        <v>130219.44125200002</v>
      </c>
      <c r="H69" s="118">
        <v>62796.806499999992</v>
      </c>
      <c r="I69" s="147">
        <f t="shared" si="1"/>
        <v>93.537376789175767</v>
      </c>
      <c r="J69" s="147">
        <f t="shared" si="1"/>
        <v>91.201580907957606</v>
      </c>
      <c r="K69" s="147">
        <f t="shared" si="1"/>
        <v>98.783713229510766</v>
      </c>
      <c r="L69" s="142"/>
      <c r="M69" s="106"/>
    </row>
    <row r="70" spans="1:13" s="104" customFormat="1" hidden="1" outlineLevel="1" x14ac:dyDescent="0.25">
      <c r="A70" s="133" t="s">
        <v>39</v>
      </c>
      <c r="B70" s="126" t="s">
        <v>128</v>
      </c>
      <c r="C70" s="118">
        <v>18680</v>
      </c>
      <c r="D70" s="118">
        <v>18680</v>
      </c>
      <c r="E70" s="118">
        <v>0</v>
      </c>
      <c r="F70" s="118">
        <v>7819.8088029999999</v>
      </c>
      <c r="G70" s="118">
        <v>7819.8088029999999</v>
      </c>
      <c r="H70" s="118">
        <v>0</v>
      </c>
      <c r="I70" s="147">
        <f t="shared" si="1"/>
        <v>41.861931493576016</v>
      </c>
      <c r="J70" s="147">
        <f t="shared" si="1"/>
        <v>41.861931493576016</v>
      </c>
      <c r="K70" s="147">
        <f t="shared" si="1"/>
        <v>0</v>
      </c>
      <c r="L70" s="142"/>
      <c r="M70" s="106"/>
    </row>
    <row r="71" spans="1:13" ht="38.25" hidden="1" outlineLevel="1" x14ac:dyDescent="0.25">
      <c r="A71" s="129" t="s">
        <v>244</v>
      </c>
      <c r="B71" s="130" t="s">
        <v>466</v>
      </c>
      <c r="C71" s="149">
        <v>11500</v>
      </c>
      <c r="D71" s="149">
        <v>11500</v>
      </c>
      <c r="E71" s="149">
        <v>0</v>
      </c>
      <c r="F71" s="149">
        <v>5376.8008030000001</v>
      </c>
      <c r="G71" s="149">
        <v>5376.8008030000001</v>
      </c>
      <c r="H71" s="149"/>
      <c r="I71" s="151">
        <f t="shared" si="1"/>
        <v>46.754789591304345</v>
      </c>
      <c r="J71" s="151">
        <f t="shared" si="1"/>
        <v>46.754789591304345</v>
      </c>
      <c r="K71" s="151">
        <f t="shared" si="1"/>
        <v>0</v>
      </c>
      <c r="L71" s="142"/>
      <c r="M71" s="106"/>
    </row>
    <row r="72" spans="1:13" ht="51" hidden="1" outlineLevel="1" x14ac:dyDescent="0.25">
      <c r="A72" s="129" t="s">
        <v>244</v>
      </c>
      <c r="B72" s="130" t="s">
        <v>245</v>
      </c>
      <c r="C72" s="149">
        <v>4683</v>
      </c>
      <c r="D72" s="149">
        <v>4683</v>
      </c>
      <c r="E72" s="149">
        <v>0</v>
      </c>
      <c r="F72" s="149">
        <v>2443.0079999999998</v>
      </c>
      <c r="G72" s="149">
        <v>2443.0079999999998</v>
      </c>
      <c r="H72" s="149"/>
      <c r="I72" s="151">
        <f t="shared" si="1"/>
        <v>52.167584881486221</v>
      </c>
      <c r="J72" s="151">
        <f t="shared" si="1"/>
        <v>52.167584881486221</v>
      </c>
      <c r="K72" s="151">
        <f t="shared" si="1"/>
        <v>0</v>
      </c>
      <c r="L72" s="142"/>
      <c r="M72" s="106"/>
    </row>
    <row r="73" spans="1:13" ht="51" hidden="1" outlineLevel="1" x14ac:dyDescent="0.25">
      <c r="A73" s="129" t="s">
        <v>244</v>
      </c>
      <c r="B73" s="130" t="s">
        <v>246</v>
      </c>
      <c r="C73" s="149">
        <v>1829</v>
      </c>
      <c r="D73" s="149">
        <v>1829</v>
      </c>
      <c r="E73" s="149">
        <v>0</v>
      </c>
      <c r="F73" s="149">
        <v>0</v>
      </c>
      <c r="G73" s="149"/>
      <c r="H73" s="149"/>
      <c r="I73" s="151">
        <f t="shared" si="1"/>
        <v>0</v>
      </c>
      <c r="J73" s="151">
        <f t="shared" si="1"/>
        <v>0</v>
      </c>
      <c r="K73" s="151">
        <f t="shared" si="1"/>
        <v>0</v>
      </c>
      <c r="L73" s="142"/>
      <c r="M73" s="106"/>
    </row>
    <row r="74" spans="1:13" hidden="1" outlineLevel="1" x14ac:dyDescent="0.25">
      <c r="A74" s="129" t="s">
        <v>244</v>
      </c>
      <c r="B74" s="130" t="s">
        <v>467</v>
      </c>
      <c r="C74" s="149">
        <v>668</v>
      </c>
      <c r="D74" s="149">
        <v>668</v>
      </c>
      <c r="E74" s="149">
        <v>0</v>
      </c>
      <c r="F74" s="149">
        <v>0</v>
      </c>
      <c r="G74" s="149"/>
      <c r="H74" s="149"/>
      <c r="I74" s="151">
        <f t="shared" si="1"/>
        <v>0</v>
      </c>
      <c r="J74" s="151">
        <f t="shared" si="1"/>
        <v>0</v>
      </c>
      <c r="K74" s="151">
        <f t="shared" si="1"/>
        <v>0</v>
      </c>
      <c r="L74" s="142"/>
      <c r="M74" s="106"/>
    </row>
    <row r="75" spans="1:13" s="104" customFormat="1" hidden="1" outlineLevel="1" x14ac:dyDescent="0.25">
      <c r="A75" s="133" t="s">
        <v>25</v>
      </c>
      <c r="B75" s="126" t="s">
        <v>127</v>
      </c>
      <c r="C75" s="118">
        <v>187672</v>
      </c>
      <c r="D75" s="118">
        <v>124102</v>
      </c>
      <c r="E75" s="118">
        <v>63570</v>
      </c>
      <c r="F75" s="118">
        <v>185196.43894899997</v>
      </c>
      <c r="G75" s="118">
        <v>122399.63244900001</v>
      </c>
      <c r="H75" s="118">
        <v>62796.806499999992</v>
      </c>
      <c r="I75" s="147">
        <f t="shared" si="1"/>
        <v>98.680910817276938</v>
      </c>
      <c r="J75" s="147">
        <f t="shared" si="1"/>
        <v>98.62825131665889</v>
      </c>
      <c r="K75" s="147">
        <f t="shared" si="1"/>
        <v>98.783713229510766</v>
      </c>
      <c r="L75" s="142"/>
      <c r="M75" s="106"/>
    </row>
    <row r="76" spans="1:13" hidden="1" outlineLevel="1" x14ac:dyDescent="0.25">
      <c r="A76" s="129">
        <v>1</v>
      </c>
      <c r="B76" s="130" t="s">
        <v>468</v>
      </c>
      <c r="C76" s="149">
        <v>23602</v>
      </c>
      <c r="D76" s="149">
        <v>2479</v>
      </c>
      <c r="E76" s="149">
        <v>21123</v>
      </c>
      <c r="F76" s="149">
        <v>23411.965499999998</v>
      </c>
      <c r="G76" s="149">
        <v>2479</v>
      </c>
      <c r="H76" s="149">
        <v>20932.965499999998</v>
      </c>
      <c r="I76" s="151">
        <f t="shared" si="1"/>
        <v>99.194837301923556</v>
      </c>
      <c r="J76" s="151">
        <f t="shared" si="1"/>
        <v>100</v>
      </c>
      <c r="K76" s="151">
        <f t="shared" si="1"/>
        <v>99.100343227761201</v>
      </c>
      <c r="L76" s="142"/>
      <c r="M76" s="106"/>
    </row>
    <row r="77" spans="1:13" ht="25.5" hidden="1" outlineLevel="1" x14ac:dyDescent="0.25">
      <c r="A77" s="129">
        <v>2</v>
      </c>
      <c r="B77" s="130" t="s">
        <v>469</v>
      </c>
      <c r="C77" s="149">
        <v>17849</v>
      </c>
      <c r="D77" s="149">
        <v>0</v>
      </c>
      <c r="E77" s="149">
        <v>17849</v>
      </c>
      <c r="F77" s="149">
        <v>17849</v>
      </c>
      <c r="G77" s="149"/>
      <c r="H77" s="149">
        <v>17849</v>
      </c>
      <c r="I77" s="151">
        <f t="shared" si="1"/>
        <v>100</v>
      </c>
      <c r="J77" s="151">
        <f t="shared" si="1"/>
        <v>0</v>
      </c>
      <c r="K77" s="151">
        <f t="shared" si="1"/>
        <v>100</v>
      </c>
      <c r="L77" s="142"/>
      <c r="M77" s="106"/>
    </row>
    <row r="78" spans="1:13" ht="51" hidden="1" outlineLevel="1" x14ac:dyDescent="0.25">
      <c r="A78" s="129">
        <v>3</v>
      </c>
      <c r="B78" s="130" t="s">
        <v>470</v>
      </c>
      <c r="C78" s="149">
        <v>3167</v>
      </c>
      <c r="D78" s="149">
        <v>654</v>
      </c>
      <c r="E78" s="149">
        <v>2513</v>
      </c>
      <c r="F78" s="149">
        <v>3154.261</v>
      </c>
      <c r="G78" s="149">
        <v>654</v>
      </c>
      <c r="H78" s="149">
        <v>2500.261</v>
      </c>
      <c r="I78" s="151">
        <f t="shared" si="1"/>
        <v>99.597758130723079</v>
      </c>
      <c r="J78" s="151">
        <f t="shared" si="1"/>
        <v>100</v>
      </c>
      <c r="K78" s="151">
        <f t="shared" si="1"/>
        <v>99.493076004775176</v>
      </c>
      <c r="L78" s="142"/>
      <c r="M78" s="106"/>
    </row>
    <row r="79" spans="1:13" ht="38.25" hidden="1" outlineLevel="1" x14ac:dyDescent="0.25">
      <c r="A79" s="129" t="s">
        <v>143</v>
      </c>
      <c r="B79" s="130" t="s">
        <v>471</v>
      </c>
      <c r="C79" s="149">
        <v>1355</v>
      </c>
      <c r="D79" s="149"/>
      <c r="E79" s="149">
        <v>1355</v>
      </c>
      <c r="F79" s="149">
        <v>1355</v>
      </c>
      <c r="G79" s="149"/>
      <c r="H79" s="149">
        <v>1355</v>
      </c>
      <c r="I79" s="151">
        <f t="shared" si="1"/>
        <v>100</v>
      </c>
      <c r="J79" s="151">
        <f t="shared" si="1"/>
        <v>0</v>
      </c>
      <c r="K79" s="151">
        <f t="shared" si="1"/>
        <v>100</v>
      </c>
      <c r="L79" s="142"/>
      <c r="M79" s="106"/>
    </row>
    <row r="80" spans="1:13" ht="38.25" hidden="1" outlineLevel="1" x14ac:dyDescent="0.25">
      <c r="A80" s="129" t="s">
        <v>144</v>
      </c>
      <c r="B80" s="130" t="s">
        <v>472</v>
      </c>
      <c r="C80" s="149">
        <v>1812</v>
      </c>
      <c r="D80" s="149">
        <v>654</v>
      </c>
      <c r="E80" s="149">
        <v>1158</v>
      </c>
      <c r="F80" s="149">
        <v>1799.261</v>
      </c>
      <c r="G80" s="149">
        <v>654</v>
      </c>
      <c r="H80" s="149">
        <v>1145.261</v>
      </c>
      <c r="I80" s="151">
        <f t="shared" si="1"/>
        <v>99.29696467991171</v>
      </c>
      <c r="J80" s="151">
        <f t="shared" si="1"/>
        <v>100</v>
      </c>
      <c r="K80" s="151">
        <f t="shared" si="1"/>
        <v>98.899913644214152</v>
      </c>
      <c r="L80" s="142"/>
      <c r="M80" s="106"/>
    </row>
    <row r="81" spans="1:13" ht="76.5" hidden="1" outlineLevel="1" x14ac:dyDescent="0.25">
      <c r="A81" s="129">
        <v>4</v>
      </c>
      <c r="B81" s="130" t="s">
        <v>210</v>
      </c>
      <c r="C81" s="149">
        <v>7714</v>
      </c>
      <c r="D81" s="149">
        <v>6637</v>
      </c>
      <c r="E81" s="149">
        <v>1077</v>
      </c>
      <c r="F81" s="149">
        <v>7714</v>
      </c>
      <c r="G81" s="149">
        <v>6637</v>
      </c>
      <c r="H81" s="149">
        <v>1077</v>
      </c>
      <c r="I81" s="151">
        <f t="shared" si="1"/>
        <v>100</v>
      </c>
      <c r="J81" s="151">
        <f t="shared" si="1"/>
        <v>100</v>
      </c>
      <c r="K81" s="151">
        <f t="shared" si="1"/>
        <v>100</v>
      </c>
      <c r="L81" s="142"/>
      <c r="M81" s="106"/>
    </row>
    <row r="82" spans="1:13" hidden="1" outlineLevel="1" x14ac:dyDescent="0.25">
      <c r="A82" s="129" t="s">
        <v>182</v>
      </c>
      <c r="B82" s="130" t="s">
        <v>211</v>
      </c>
      <c r="C82" s="149">
        <v>3868</v>
      </c>
      <c r="D82" s="149">
        <v>3868</v>
      </c>
      <c r="E82" s="149">
        <v>0</v>
      </c>
      <c r="F82" s="149">
        <v>3868</v>
      </c>
      <c r="G82" s="149">
        <v>3868</v>
      </c>
      <c r="H82" s="149"/>
      <c r="I82" s="147">
        <f t="shared" si="1"/>
        <v>100</v>
      </c>
      <c r="J82" s="147">
        <f t="shared" si="1"/>
        <v>100</v>
      </c>
      <c r="K82" s="147">
        <f t="shared" si="1"/>
        <v>0</v>
      </c>
      <c r="L82" s="142"/>
      <c r="M82" s="106"/>
    </row>
    <row r="83" spans="1:13" ht="25.5" hidden="1" outlineLevel="1" x14ac:dyDescent="0.25">
      <c r="A83" s="129" t="s">
        <v>183</v>
      </c>
      <c r="B83" s="130" t="s">
        <v>212</v>
      </c>
      <c r="C83" s="149">
        <v>1077</v>
      </c>
      <c r="D83" s="149"/>
      <c r="E83" s="149">
        <v>1077</v>
      </c>
      <c r="F83" s="149">
        <v>1077</v>
      </c>
      <c r="G83" s="149"/>
      <c r="H83" s="149">
        <v>1077</v>
      </c>
      <c r="I83" s="151">
        <f t="shared" si="1"/>
        <v>100</v>
      </c>
      <c r="J83" s="151">
        <f t="shared" si="1"/>
        <v>0</v>
      </c>
      <c r="K83" s="151">
        <f t="shared" si="1"/>
        <v>100</v>
      </c>
      <c r="L83" s="142"/>
      <c r="M83" s="106"/>
    </row>
    <row r="84" spans="1:13" ht="25.5" hidden="1" outlineLevel="1" x14ac:dyDescent="0.25">
      <c r="A84" s="129" t="s">
        <v>184</v>
      </c>
      <c r="B84" s="130" t="s">
        <v>213</v>
      </c>
      <c r="C84" s="149">
        <v>2769</v>
      </c>
      <c r="D84" s="149">
        <v>2769</v>
      </c>
      <c r="E84" s="149">
        <v>0</v>
      </c>
      <c r="F84" s="149">
        <v>2769</v>
      </c>
      <c r="G84" s="149">
        <v>2769</v>
      </c>
      <c r="H84" s="149">
        <v>0</v>
      </c>
      <c r="I84" s="151">
        <f t="shared" si="1"/>
        <v>100</v>
      </c>
      <c r="J84" s="151">
        <f t="shared" si="1"/>
        <v>100</v>
      </c>
      <c r="K84" s="151">
        <f t="shared" si="1"/>
        <v>0</v>
      </c>
      <c r="L84" s="142"/>
      <c r="M84" s="106"/>
    </row>
    <row r="85" spans="1:13" ht="38.25" hidden="1" outlineLevel="1" x14ac:dyDescent="0.25">
      <c r="A85" s="129">
        <v>5</v>
      </c>
      <c r="B85" s="130" t="s">
        <v>473</v>
      </c>
      <c r="C85" s="149">
        <v>1484</v>
      </c>
      <c r="D85" s="149">
        <v>1484</v>
      </c>
      <c r="E85" s="149">
        <v>0</v>
      </c>
      <c r="F85" s="149">
        <v>496</v>
      </c>
      <c r="G85" s="149">
        <v>496</v>
      </c>
      <c r="H85" s="149">
        <v>0</v>
      </c>
      <c r="I85" s="151">
        <f t="shared" si="1"/>
        <v>33.423180592991912</v>
      </c>
      <c r="J85" s="151">
        <f t="shared" si="1"/>
        <v>33.423180592991912</v>
      </c>
      <c r="K85" s="151">
        <f t="shared" si="1"/>
        <v>0</v>
      </c>
      <c r="L85" s="142"/>
      <c r="M85" s="106"/>
    </row>
    <row r="86" spans="1:13" hidden="1" outlineLevel="1" x14ac:dyDescent="0.25">
      <c r="A86" s="129" t="s">
        <v>474</v>
      </c>
      <c r="B86" s="130" t="s">
        <v>214</v>
      </c>
      <c r="C86" s="149">
        <v>1288</v>
      </c>
      <c r="D86" s="149">
        <v>1288</v>
      </c>
      <c r="E86" s="149">
        <v>0</v>
      </c>
      <c r="F86" s="149">
        <v>300</v>
      </c>
      <c r="G86" s="149">
        <v>300</v>
      </c>
      <c r="H86" s="149"/>
      <c r="I86" s="151">
        <f t="shared" si="1"/>
        <v>23.29192546583851</v>
      </c>
      <c r="J86" s="151">
        <f t="shared" si="1"/>
        <v>23.29192546583851</v>
      </c>
      <c r="K86" s="151">
        <f t="shared" si="1"/>
        <v>0</v>
      </c>
      <c r="L86" s="142"/>
      <c r="M86" s="106"/>
    </row>
    <row r="87" spans="1:13" ht="25.5" hidden="1" outlineLevel="1" x14ac:dyDescent="0.25">
      <c r="A87" s="129" t="s">
        <v>475</v>
      </c>
      <c r="B87" s="130" t="s">
        <v>215</v>
      </c>
      <c r="C87" s="149">
        <v>196</v>
      </c>
      <c r="D87" s="149">
        <v>196</v>
      </c>
      <c r="E87" s="149">
        <v>0</v>
      </c>
      <c r="F87" s="149">
        <v>196</v>
      </c>
      <c r="G87" s="149">
        <v>196</v>
      </c>
      <c r="H87" s="149"/>
      <c r="I87" s="151">
        <f t="shared" si="1"/>
        <v>100</v>
      </c>
      <c r="J87" s="151">
        <f t="shared" si="1"/>
        <v>100</v>
      </c>
      <c r="K87" s="151">
        <f t="shared" si="1"/>
        <v>0</v>
      </c>
      <c r="L87" s="142"/>
      <c r="M87" s="106"/>
    </row>
    <row r="88" spans="1:13" ht="38.25" hidden="1" outlineLevel="1" x14ac:dyDescent="0.25">
      <c r="A88" s="129">
        <v>6</v>
      </c>
      <c r="B88" s="130" t="s">
        <v>216</v>
      </c>
      <c r="C88" s="149">
        <v>29575</v>
      </c>
      <c r="D88" s="149">
        <v>29575</v>
      </c>
      <c r="E88" s="149">
        <v>0</v>
      </c>
      <c r="F88" s="149">
        <v>29575</v>
      </c>
      <c r="G88" s="149">
        <v>29575</v>
      </c>
      <c r="H88" s="149"/>
      <c r="I88" s="151">
        <f t="shared" si="1"/>
        <v>100</v>
      </c>
      <c r="J88" s="151">
        <f t="shared" si="1"/>
        <v>100</v>
      </c>
      <c r="K88" s="151">
        <f t="shared" si="1"/>
        <v>0</v>
      </c>
      <c r="L88" s="142"/>
      <c r="M88" s="106"/>
    </row>
    <row r="89" spans="1:13" ht="25.5" hidden="1" outlineLevel="1" x14ac:dyDescent="0.25">
      <c r="A89" s="129">
        <v>7</v>
      </c>
      <c r="B89" s="130" t="s">
        <v>217</v>
      </c>
      <c r="C89" s="149">
        <v>6381</v>
      </c>
      <c r="D89" s="149">
        <v>6381</v>
      </c>
      <c r="E89" s="149">
        <v>0</v>
      </c>
      <c r="F89" s="149">
        <v>6381</v>
      </c>
      <c r="G89" s="149">
        <v>6381</v>
      </c>
      <c r="H89" s="149"/>
      <c r="I89" s="151">
        <f t="shared" si="1"/>
        <v>100</v>
      </c>
      <c r="J89" s="151">
        <f t="shared" si="1"/>
        <v>100</v>
      </c>
      <c r="K89" s="151">
        <f t="shared" si="1"/>
        <v>0</v>
      </c>
      <c r="L89" s="142"/>
      <c r="M89" s="106"/>
    </row>
    <row r="90" spans="1:13" ht="25.5" hidden="1" outlineLevel="1" x14ac:dyDescent="0.25">
      <c r="A90" s="129">
        <v>8</v>
      </c>
      <c r="B90" s="130" t="s">
        <v>476</v>
      </c>
      <c r="C90" s="149">
        <v>4155</v>
      </c>
      <c r="D90" s="149">
        <v>2156</v>
      </c>
      <c r="E90" s="149">
        <v>1999</v>
      </c>
      <c r="F90" s="149">
        <v>4071.29</v>
      </c>
      <c r="G90" s="149">
        <v>2151.8000000000002</v>
      </c>
      <c r="H90" s="149">
        <v>1919.49</v>
      </c>
      <c r="I90" s="151">
        <f t="shared" si="1"/>
        <v>97.985318892900125</v>
      </c>
      <c r="J90" s="151">
        <f t="shared" si="1"/>
        <v>99.805194805194816</v>
      </c>
      <c r="K90" s="151">
        <f t="shared" si="1"/>
        <v>96.022511255627819</v>
      </c>
      <c r="L90" s="142"/>
      <c r="M90" s="106"/>
    </row>
    <row r="91" spans="1:13" ht="25.5" hidden="1" outlineLevel="1" x14ac:dyDescent="0.25">
      <c r="A91" s="135" t="s">
        <v>12</v>
      </c>
      <c r="B91" s="130" t="s">
        <v>218</v>
      </c>
      <c r="C91" s="149">
        <v>1020</v>
      </c>
      <c r="D91" s="149">
        <v>0</v>
      </c>
      <c r="E91" s="149">
        <v>1020</v>
      </c>
      <c r="F91" s="149">
        <v>1015</v>
      </c>
      <c r="G91" s="149"/>
      <c r="H91" s="149">
        <v>1015</v>
      </c>
      <c r="I91" s="151">
        <f t="shared" si="1"/>
        <v>99.509803921568633</v>
      </c>
      <c r="J91" s="151">
        <f t="shared" si="1"/>
        <v>0</v>
      </c>
      <c r="K91" s="151">
        <f t="shared" si="1"/>
        <v>99.509803921568633</v>
      </c>
      <c r="L91" s="142"/>
      <c r="M91" s="106"/>
    </row>
    <row r="92" spans="1:13" ht="25.5" hidden="1" outlineLevel="1" x14ac:dyDescent="0.25">
      <c r="A92" s="135" t="s">
        <v>12</v>
      </c>
      <c r="B92" s="130" t="s">
        <v>219</v>
      </c>
      <c r="C92" s="149">
        <v>1110</v>
      </c>
      <c r="D92" s="149">
        <v>131</v>
      </c>
      <c r="E92" s="149">
        <v>979</v>
      </c>
      <c r="F92" s="149">
        <v>1031.29</v>
      </c>
      <c r="G92" s="149">
        <v>126.8</v>
      </c>
      <c r="H92" s="149">
        <v>904.49</v>
      </c>
      <c r="I92" s="151">
        <f t="shared" si="1"/>
        <v>92.909009009008997</v>
      </c>
      <c r="J92" s="151">
        <f t="shared" si="1"/>
        <v>96.793893129770993</v>
      </c>
      <c r="K92" s="151">
        <f t="shared" si="1"/>
        <v>92.389172625127685</v>
      </c>
      <c r="L92" s="142"/>
      <c r="M92" s="106"/>
    </row>
    <row r="93" spans="1:13" ht="38.25" hidden="1" outlineLevel="1" x14ac:dyDescent="0.25">
      <c r="A93" s="135" t="s">
        <v>12</v>
      </c>
      <c r="B93" s="130" t="s">
        <v>220</v>
      </c>
      <c r="C93" s="149">
        <v>726</v>
      </c>
      <c r="D93" s="149">
        <v>726</v>
      </c>
      <c r="E93" s="149">
        <v>0</v>
      </c>
      <c r="F93" s="149">
        <v>726</v>
      </c>
      <c r="G93" s="149">
        <v>726</v>
      </c>
      <c r="H93" s="149"/>
      <c r="I93" s="151">
        <f t="shared" si="1"/>
        <v>100</v>
      </c>
      <c r="J93" s="151">
        <f t="shared" si="1"/>
        <v>100</v>
      </c>
      <c r="K93" s="151">
        <f t="shared" si="1"/>
        <v>0</v>
      </c>
      <c r="L93" s="142"/>
      <c r="M93" s="106"/>
    </row>
    <row r="94" spans="1:13" ht="38.25" hidden="1" outlineLevel="1" x14ac:dyDescent="0.25">
      <c r="A94" s="135" t="s">
        <v>12</v>
      </c>
      <c r="B94" s="130" t="s">
        <v>477</v>
      </c>
      <c r="C94" s="149">
        <v>1299</v>
      </c>
      <c r="D94" s="149">
        <v>1299</v>
      </c>
      <c r="E94" s="149">
        <v>0</v>
      </c>
      <c r="F94" s="149">
        <v>1299</v>
      </c>
      <c r="G94" s="149">
        <v>1299</v>
      </c>
      <c r="H94" s="149"/>
      <c r="I94" s="151">
        <f t="shared" si="1"/>
        <v>100</v>
      </c>
      <c r="J94" s="151">
        <f t="shared" si="1"/>
        <v>100</v>
      </c>
      <c r="K94" s="151">
        <f t="shared" si="1"/>
        <v>0</v>
      </c>
      <c r="L94" s="142"/>
      <c r="M94" s="106"/>
    </row>
    <row r="95" spans="1:13" ht="89.25" hidden="1" outlineLevel="1" x14ac:dyDescent="0.25">
      <c r="A95" s="135">
        <v>9</v>
      </c>
      <c r="B95" s="136" t="s">
        <v>478</v>
      </c>
      <c r="C95" s="149">
        <v>28593</v>
      </c>
      <c r="D95" s="149">
        <v>11109</v>
      </c>
      <c r="E95" s="149">
        <v>17484</v>
      </c>
      <c r="F95" s="149">
        <v>28830.422448999998</v>
      </c>
      <c r="G95" s="149">
        <v>11820.532449</v>
      </c>
      <c r="H95" s="149">
        <v>17009.89</v>
      </c>
      <c r="I95" s="151">
        <f t="shared" si="1"/>
        <v>100.83035165599972</v>
      </c>
      <c r="J95" s="151">
        <f t="shared" si="1"/>
        <v>106.40500899270862</v>
      </c>
      <c r="K95" s="151">
        <f t="shared" si="1"/>
        <v>97.288320750400359</v>
      </c>
      <c r="L95" s="142"/>
      <c r="M95" s="106"/>
    </row>
    <row r="96" spans="1:13" ht="25.5" hidden="1" outlineLevel="1" x14ac:dyDescent="0.25">
      <c r="A96" s="129" t="s">
        <v>479</v>
      </c>
      <c r="B96" s="130" t="s">
        <v>221</v>
      </c>
      <c r="C96" s="149">
        <v>10777</v>
      </c>
      <c r="D96" s="149">
        <v>940</v>
      </c>
      <c r="E96" s="149">
        <v>9837</v>
      </c>
      <c r="F96" s="149">
        <v>10737</v>
      </c>
      <c r="G96" s="149">
        <v>900</v>
      </c>
      <c r="H96" s="149">
        <v>9837</v>
      </c>
      <c r="I96" s="151">
        <f t="shared" si="1"/>
        <v>99.628839194581047</v>
      </c>
      <c r="J96" s="151">
        <f t="shared" si="1"/>
        <v>95.744680851063833</v>
      </c>
      <c r="K96" s="151">
        <f t="shared" si="1"/>
        <v>100</v>
      </c>
      <c r="L96" s="142"/>
      <c r="M96" s="106"/>
    </row>
    <row r="97" spans="1:13" ht="25.5" hidden="1" outlineLevel="1" x14ac:dyDescent="0.25">
      <c r="A97" s="129" t="s">
        <v>480</v>
      </c>
      <c r="B97" s="130" t="s">
        <v>222</v>
      </c>
      <c r="C97" s="149">
        <v>6815</v>
      </c>
      <c r="D97" s="149">
        <v>0</v>
      </c>
      <c r="E97" s="149">
        <v>6815</v>
      </c>
      <c r="F97" s="149">
        <v>6400.39</v>
      </c>
      <c r="G97" s="149"/>
      <c r="H97" s="149">
        <v>6400.39</v>
      </c>
      <c r="I97" s="151">
        <f t="shared" si="1"/>
        <v>93.916214233308878</v>
      </c>
      <c r="J97" s="151">
        <f t="shared" si="1"/>
        <v>0</v>
      </c>
      <c r="K97" s="151">
        <f t="shared" si="1"/>
        <v>93.916214233308878</v>
      </c>
      <c r="L97" s="142"/>
      <c r="M97" s="106"/>
    </row>
    <row r="98" spans="1:13" ht="25.5" hidden="1" outlineLevel="1" x14ac:dyDescent="0.25">
      <c r="A98" s="129" t="s">
        <v>481</v>
      </c>
      <c r="B98" s="130" t="s">
        <v>223</v>
      </c>
      <c r="C98" s="149">
        <v>1261</v>
      </c>
      <c r="D98" s="149">
        <v>429</v>
      </c>
      <c r="E98" s="149">
        <v>832</v>
      </c>
      <c r="F98" s="149">
        <v>1231.5</v>
      </c>
      <c r="G98" s="149">
        <v>459</v>
      </c>
      <c r="H98" s="149">
        <v>772.5</v>
      </c>
      <c r="I98" s="151">
        <f t="shared" si="1"/>
        <v>97.660586835844569</v>
      </c>
      <c r="J98" s="151">
        <f t="shared" si="1"/>
        <v>106.993006993007</v>
      </c>
      <c r="K98" s="151">
        <f t="shared" si="1"/>
        <v>92.848557692307693</v>
      </c>
      <c r="L98" s="142"/>
      <c r="M98" s="106"/>
    </row>
    <row r="99" spans="1:13" ht="25.5" hidden="1" outlineLevel="1" x14ac:dyDescent="0.25">
      <c r="A99" s="129" t="s">
        <v>482</v>
      </c>
      <c r="B99" s="130" t="s">
        <v>224</v>
      </c>
      <c r="C99" s="149">
        <v>9740</v>
      </c>
      <c r="D99" s="149">
        <v>9740</v>
      </c>
      <c r="E99" s="149">
        <v>0</v>
      </c>
      <c r="F99" s="149">
        <v>10461.532449</v>
      </c>
      <c r="G99" s="149">
        <v>10461.532449</v>
      </c>
      <c r="H99" s="149"/>
      <c r="I99" s="151">
        <f t="shared" si="1"/>
        <v>107.40793068788501</v>
      </c>
      <c r="J99" s="151">
        <f t="shared" si="1"/>
        <v>107.40793068788501</v>
      </c>
      <c r="K99" s="151">
        <f t="shared" si="1"/>
        <v>0</v>
      </c>
      <c r="L99" s="142"/>
      <c r="M99" s="106"/>
    </row>
    <row r="100" spans="1:13" ht="25.5" hidden="1" outlineLevel="1" x14ac:dyDescent="0.25">
      <c r="A100" s="135">
        <v>10</v>
      </c>
      <c r="B100" s="130" t="s">
        <v>483</v>
      </c>
      <c r="C100" s="149">
        <v>5711</v>
      </c>
      <c r="D100" s="149">
        <v>5144</v>
      </c>
      <c r="E100" s="149">
        <v>567</v>
      </c>
      <c r="F100" s="149">
        <v>5747</v>
      </c>
      <c r="G100" s="149">
        <v>5144</v>
      </c>
      <c r="H100" s="149">
        <v>603</v>
      </c>
      <c r="I100" s="151">
        <f t="shared" si="1"/>
        <v>100.63036245841359</v>
      </c>
      <c r="J100" s="151">
        <f t="shared" si="1"/>
        <v>100</v>
      </c>
      <c r="K100" s="151">
        <f t="shared" si="1"/>
        <v>106.34920634920636</v>
      </c>
      <c r="L100" s="142"/>
      <c r="M100" s="106"/>
    </row>
    <row r="101" spans="1:13" ht="25.5" hidden="1" outlineLevel="1" x14ac:dyDescent="0.25">
      <c r="A101" s="135">
        <v>11</v>
      </c>
      <c r="B101" s="130" t="s">
        <v>484</v>
      </c>
      <c r="C101" s="149">
        <v>9580</v>
      </c>
      <c r="D101" s="149">
        <v>8622</v>
      </c>
      <c r="E101" s="149">
        <v>958</v>
      </c>
      <c r="F101" s="149">
        <v>9030.2000000000007</v>
      </c>
      <c r="G101" s="149">
        <v>8125</v>
      </c>
      <c r="H101" s="149">
        <v>905.2</v>
      </c>
      <c r="I101" s="151">
        <f t="shared" si="1"/>
        <v>94.260960334029235</v>
      </c>
      <c r="J101" s="151">
        <f t="shared" si="1"/>
        <v>94.235676177221066</v>
      </c>
      <c r="K101" s="151">
        <f t="shared" si="1"/>
        <v>94.488517745302715</v>
      </c>
      <c r="L101" s="142"/>
      <c r="M101" s="106"/>
    </row>
    <row r="102" spans="1:13" ht="25.5" hidden="1" outlineLevel="1" x14ac:dyDescent="0.25">
      <c r="A102" s="135">
        <v>12</v>
      </c>
      <c r="B102" s="130" t="s">
        <v>485</v>
      </c>
      <c r="C102" s="149">
        <v>44194</v>
      </c>
      <c r="D102" s="149">
        <v>44194</v>
      </c>
      <c r="E102" s="149">
        <v>0</v>
      </c>
      <c r="F102" s="149">
        <v>43769.3</v>
      </c>
      <c r="G102" s="149">
        <v>43769.3</v>
      </c>
      <c r="H102" s="149"/>
      <c r="I102" s="151">
        <f t="shared" si="1"/>
        <v>99.039009820337611</v>
      </c>
      <c r="J102" s="151">
        <f t="shared" si="1"/>
        <v>99.039009820337611</v>
      </c>
      <c r="K102" s="151">
        <f t="shared" si="1"/>
        <v>0</v>
      </c>
      <c r="L102" s="142"/>
      <c r="M102" s="106"/>
    </row>
    <row r="103" spans="1:13" hidden="1" outlineLevel="1" x14ac:dyDescent="0.25">
      <c r="A103" s="129">
        <v>13</v>
      </c>
      <c r="B103" s="130" t="s">
        <v>247</v>
      </c>
      <c r="C103" s="149">
        <v>167</v>
      </c>
      <c r="D103" s="149">
        <v>167</v>
      </c>
      <c r="E103" s="149">
        <v>0</v>
      </c>
      <c r="F103" s="149">
        <v>167</v>
      </c>
      <c r="G103" s="149">
        <v>167</v>
      </c>
      <c r="H103" s="149"/>
      <c r="I103" s="151">
        <f t="shared" si="1"/>
        <v>100</v>
      </c>
      <c r="J103" s="151">
        <f t="shared" si="1"/>
        <v>100</v>
      </c>
      <c r="K103" s="151">
        <f t="shared" si="1"/>
        <v>0</v>
      </c>
      <c r="L103" s="142"/>
      <c r="M103" s="106"/>
    </row>
    <row r="104" spans="1:13" ht="25.5" hidden="1" outlineLevel="1" x14ac:dyDescent="0.25">
      <c r="A104" s="129">
        <v>14</v>
      </c>
      <c r="B104" s="130" t="s">
        <v>486</v>
      </c>
      <c r="C104" s="149">
        <v>500</v>
      </c>
      <c r="D104" s="149">
        <v>500</v>
      </c>
      <c r="E104" s="149">
        <v>0</v>
      </c>
      <c r="F104" s="149">
        <v>0</v>
      </c>
      <c r="G104" s="149">
        <v>0</v>
      </c>
      <c r="H104" s="149"/>
      <c r="I104" s="151">
        <f t="shared" si="1"/>
        <v>0</v>
      </c>
      <c r="J104" s="151">
        <f t="shared" si="1"/>
        <v>0</v>
      </c>
      <c r="K104" s="151">
        <f t="shared" si="1"/>
        <v>0</v>
      </c>
      <c r="L104" s="142"/>
      <c r="M104" s="106"/>
    </row>
    <row r="105" spans="1:13" hidden="1" outlineLevel="1" x14ac:dyDescent="0.25">
      <c r="A105" s="129">
        <v>15</v>
      </c>
      <c r="B105" s="130" t="s">
        <v>248</v>
      </c>
      <c r="C105" s="149">
        <v>5000</v>
      </c>
      <c r="D105" s="149">
        <v>5000</v>
      </c>
      <c r="E105" s="149">
        <v>0</v>
      </c>
      <c r="F105" s="149">
        <v>5000</v>
      </c>
      <c r="G105" s="149">
        <v>5000</v>
      </c>
      <c r="H105" s="149"/>
      <c r="I105" s="151">
        <f t="shared" si="1"/>
        <v>100</v>
      </c>
      <c r="J105" s="151">
        <f t="shared" si="1"/>
        <v>100</v>
      </c>
      <c r="K105" s="151">
        <f t="shared" si="1"/>
        <v>0</v>
      </c>
      <c r="L105" s="142"/>
      <c r="M105" s="106"/>
    </row>
    <row r="106" spans="1:13" collapsed="1" x14ac:dyDescent="0.25">
      <c r="A106" s="133" t="s">
        <v>31</v>
      </c>
      <c r="B106" s="126" t="s">
        <v>76</v>
      </c>
      <c r="C106" s="118">
        <v>0</v>
      </c>
      <c r="D106" s="118"/>
      <c r="E106" s="118"/>
      <c r="F106" s="118">
        <v>2204821.649613</v>
      </c>
      <c r="G106" s="118">
        <v>1326874.6171550001</v>
      </c>
      <c r="H106" s="118">
        <v>877946.73245800007</v>
      </c>
      <c r="I106" s="147">
        <f t="shared" si="1"/>
        <v>0</v>
      </c>
      <c r="J106" s="147">
        <f t="shared" si="1"/>
        <v>0</v>
      </c>
      <c r="K106" s="147">
        <f t="shared" si="1"/>
        <v>0</v>
      </c>
      <c r="L106" s="142"/>
      <c r="M106" s="106"/>
    </row>
    <row r="107" spans="1:13" x14ac:dyDescent="0.25">
      <c r="A107" s="167" t="s">
        <v>32</v>
      </c>
      <c r="B107" s="168" t="s">
        <v>249</v>
      </c>
      <c r="C107" s="169">
        <v>0</v>
      </c>
      <c r="D107" s="169"/>
      <c r="E107" s="169"/>
      <c r="F107" s="169">
        <v>429889.49046399997</v>
      </c>
      <c r="G107" s="169">
        <v>331567.81606899999</v>
      </c>
      <c r="H107" s="169">
        <v>98321.674394999995</v>
      </c>
      <c r="I107" s="170">
        <f t="shared" si="1"/>
        <v>0</v>
      </c>
      <c r="J107" s="170">
        <f t="shared" si="1"/>
        <v>0</v>
      </c>
      <c r="K107" s="170">
        <f t="shared" si="1"/>
        <v>0</v>
      </c>
      <c r="L107" s="142"/>
      <c r="M107" s="106"/>
    </row>
    <row r="109" spans="1:13" ht="27" customHeight="1" x14ac:dyDescent="0.25">
      <c r="A109" s="343" t="s">
        <v>492</v>
      </c>
      <c r="B109" s="343"/>
      <c r="C109" s="343"/>
      <c r="D109" s="343"/>
      <c r="E109" s="343"/>
      <c r="F109" s="343"/>
      <c r="G109" s="343"/>
      <c r="H109" s="343"/>
      <c r="I109" s="343"/>
      <c r="J109" s="343"/>
      <c r="K109" s="343"/>
    </row>
  </sheetData>
  <mergeCells count="11">
    <mergeCell ref="A109:K109"/>
    <mergeCell ref="A2:K2"/>
    <mergeCell ref="A3:K3"/>
    <mergeCell ref="J4:K4"/>
    <mergeCell ref="A5:A6"/>
    <mergeCell ref="B5:B6"/>
    <mergeCell ref="C5:C6"/>
    <mergeCell ref="D5:E5"/>
    <mergeCell ref="F5:F6"/>
    <mergeCell ref="G5:H5"/>
    <mergeCell ref="I5:K5"/>
  </mergeCells>
  <dataValidations count="2">
    <dataValidation allowBlank="1" showInputMessage="1" showErrorMessage="1" prompt="Chưa bao gồm chi chuyển giao ngân sách _x000a_" sqref="G8" xr:uid="{00000000-0002-0000-0700-000000000000}"/>
    <dataValidation allowBlank="1" showInputMessage="1" showErrorMessage="1" prompt="Chưa bao gồm chi chuyển giao ngân sách " sqref="F8 H8" xr:uid="{00000000-0002-0000-0700-000001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2"/>
  <sheetViews>
    <sheetView topLeftCell="A19" workbookViewId="0">
      <selection activeCell="C39" sqref="C39"/>
    </sheetView>
  </sheetViews>
  <sheetFormatPr defaultColWidth="9.140625" defaultRowHeight="15" x14ac:dyDescent="0.25"/>
  <cols>
    <col min="1" max="1" width="5.42578125" style="197" customWidth="1"/>
    <col min="2" max="2" width="37" style="175" customWidth="1"/>
    <col min="3" max="3" width="13" style="175" customWidth="1"/>
    <col min="4" max="4" width="12.28515625" style="175" customWidth="1"/>
    <col min="5" max="5" width="11.28515625" style="175" customWidth="1"/>
    <col min="6" max="6" width="12.140625" style="175" customWidth="1"/>
    <col min="7" max="7" width="18.7109375" style="175" customWidth="1"/>
    <col min="8" max="8" width="11.140625" style="175" customWidth="1"/>
    <col min="9" max="16384" width="9.140625" style="175"/>
  </cols>
  <sheetData>
    <row r="1" spans="1:14" x14ac:dyDescent="0.25">
      <c r="A1" s="174"/>
      <c r="E1" s="176" t="s">
        <v>493</v>
      </c>
    </row>
    <row r="2" spans="1:14" ht="24.75" customHeight="1" x14ac:dyDescent="0.25">
      <c r="A2" s="347" t="s">
        <v>494</v>
      </c>
      <c r="B2" s="347"/>
      <c r="C2" s="347"/>
      <c r="D2" s="347"/>
      <c r="E2" s="347"/>
      <c r="F2" s="347"/>
    </row>
    <row r="3" spans="1:14" x14ac:dyDescent="0.25">
      <c r="A3" s="342" t="s">
        <v>489</v>
      </c>
      <c r="B3" s="342"/>
      <c r="C3" s="342"/>
      <c r="D3" s="342"/>
      <c r="E3" s="342"/>
      <c r="F3" s="342"/>
    </row>
    <row r="4" spans="1:14" x14ac:dyDescent="0.25">
      <c r="A4" s="177"/>
      <c r="B4" s="178"/>
      <c r="C4" s="178"/>
      <c r="D4" s="178"/>
      <c r="E4" s="348" t="s">
        <v>490</v>
      </c>
      <c r="F4" s="348"/>
    </row>
    <row r="5" spans="1:14" x14ac:dyDescent="0.25">
      <c r="A5" s="349" t="s">
        <v>2</v>
      </c>
      <c r="B5" s="349" t="s">
        <v>123</v>
      </c>
      <c r="C5" s="349" t="s">
        <v>107</v>
      </c>
      <c r="D5" s="349" t="s">
        <v>108</v>
      </c>
      <c r="E5" s="349" t="s">
        <v>495</v>
      </c>
      <c r="F5" s="349"/>
      <c r="G5" s="180"/>
      <c r="H5" s="181"/>
      <c r="I5" s="181"/>
      <c r="J5" s="181"/>
      <c r="K5" s="181"/>
    </row>
    <row r="6" spans="1:14" ht="25.5" x14ac:dyDescent="0.25">
      <c r="A6" s="349"/>
      <c r="B6" s="349"/>
      <c r="C6" s="349"/>
      <c r="D6" s="349"/>
      <c r="E6" s="179" t="s">
        <v>496</v>
      </c>
      <c r="F6" s="179" t="s">
        <v>497</v>
      </c>
      <c r="G6" s="180"/>
      <c r="H6" s="181"/>
      <c r="I6" s="181"/>
      <c r="J6" s="181"/>
      <c r="K6" s="181"/>
    </row>
    <row r="7" spans="1:14" x14ac:dyDescent="0.25">
      <c r="A7" s="179" t="s">
        <v>7</v>
      </c>
      <c r="B7" s="182" t="s">
        <v>8</v>
      </c>
      <c r="C7" s="182" t="s">
        <v>259</v>
      </c>
      <c r="D7" s="182" t="s">
        <v>261</v>
      </c>
      <c r="E7" s="179" t="s">
        <v>498</v>
      </c>
      <c r="F7" s="179" t="s">
        <v>499</v>
      </c>
      <c r="H7" s="183">
        <f>D8+'[2]Bieu 54_'!T116</f>
        <v>8083350.7662559999</v>
      </c>
      <c r="I7" s="181"/>
      <c r="J7" s="181"/>
      <c r="K7" s="181"/>
    </row>
    <row r="8" spans="1:14" ht="18" customHeight="1" x14ac:dyDescent="0.25">
      <c r="A8" s="184"/>
      <c r="B8" s="185" t="s">
        <v>20</v>
      </c>
      <c r="C8" s="186">
        <f>C9+C10+C47+C48</f>
        <v>6517057.4886699999</v>
      </c>
      <c r="D8" s="186">
        <f>D9+D10+D47+D48</f>
        <v>7549860.6582559999</v>
      </c>
      <c r="E8" s="186">
        <f>E9+E10+E47+E48</f>
        <v>1032803.1695860004</v>
      </c>
      <c r="F8" s="187">
        <f t="shared" ref="F8:F12" si="0">IF(C8=0,0,D8/C8*100)</f>
        <v>115.84769155990328</v>
      </c>
      <c r="G8" s="180"/>
      <c r="H8" s="183">
        <f>H9-D8</f>
        <v>532301.65380400047</v>
      </c>
      <c r="I8" s="183"/>
      <c r="J8" s="181"/>
      <c r="K8" s="181"/>
    </row>
    <row r="9" spans="1:14" ht="25.5" x14ac:dyDescent="0.25">
      <c r="A9" s="131" t="s">
        <v>7</v>
      </c>
      <c r="B9" s="132" t="s">
        <v>500</v>
      </c>
      <c r="C9" s="188">
        <v>2007071</v>
      </c>
      <c r="D9" s="188">
        <f>C9</f>
        <v>2007071</v>
      </c>
      <c r="E9" s="188">
        <f t="shared" ref="E9:E12" si="1">D9-C9</f>
        <v>0</v>
      </c>
      <c r="F9" s="189">
        <f t="shared" si="0"/>
        <v>100</v>
      </c>
      <c r="H9" s="181">
        <v>8082162.3120600004</v>
      </c>
      <c r="I9" s="183"/>
      <c r="J9" s="181"/>
      <c r="K9" s="181"/>
    </row>
    <row r="10" spans="1:14" ht="25.5" x14ac:dyDescent="0.25">
      <c r="A10" s="131" t="s">
        <v>8</v>
      </c>
      <c r="B10" s="132" t="s">
        <v>501</v>
      </c>
      <c r="C10" s="188">
        <f>C11+C27+C40+C41+C42+C44+C45+C43</f>
        <v>4509986.4886699999</v>
      </c>
      <c r="D10" s="188">
        <f>D11+D27+D40+D41+D42+D44+D45+D46+D43</f>
        <v>3884347.2252560002</v>
      </c>
      <c r="E10" s="188">
        <f t="shared" si="1"/>
        <v>-625639.2634139997</v>
      </c>
      <c r="F10" s="189">
        <f t="shared" si="0"/>
        <v>86.127690959036514</v>
      </c>
      <c r="G10" s="180"/>
      <c r="H10" s="183">
        <f>H9-D8</f>
        <v>532301.65380400047</v>
      </c>
      <c r="I10" s="183"/>
      <c r="J10" s="181"/>
      <c r="K10" s="181"/>
    </row>
    <row r="11" spans="1:14" x14ac:dyDescent="0.25">
      <c r="A11" s="131" t="s">
        <v>39</v>
      </c>
      <c r="B11" s="132" t="s">
        <v>155</v>
      </c>
      <c r="C11" s="188">
        <f>C12+C25+C26</f>
        <v>1748520.58867</v>
      </c>
      <c r="D11" s="188">
        <f>D12+D25+D26</f>
        <v>1952820.160159</v>
      </c>
      <c r="E11" s="188">
        <f t="shared" si="1"/>
        <v>204299.57148899999</v>
      </c>
      <c r="F11" s="189">
        <f t="shared" si="0"/>
        <v>111.68413874064811</v>
      </c>
      <c r="H11" s="183">
        <f>D8-D9</f>
        <v>5542789.6582559999</v>
      </c>
      <c r="I11" s="183">
        <f>H11+'[2]Bieu 54_'!T116</f>
        <v>6076279.7662559999</v>
      </c>
      <c r="J11" s="181"/>
      <c r="K11" s="181"/>
    </row>
    <row r="12" spans="1:14" x14ac:dyDescent="0.25">
      <c r="A12" s="131">
        <v>1</v>
      </c>
      <c r="B12" s="132" t="s">
        <v>66</v>
      </c>
      <c r="C12" s="188">
        <f>SUM(C13:C24)</f>
        <v>1748520.58867</v>
      </c>
      <c r="D12" s="188">
        <f>SUM(D13:D24)</f>
        <v>1943224.160159</v>
      </c>
      <c r="E12" s="188">
        <f t="shared" si="1"/>
        <v>194703.57148899999</v>
      </c>
      <c r="F12" s="189">
        <f t="shared" si="0"/>
        <v>111.13533193435829</v>
      </c>
      <c r="H12" s="181"/>
      <c r="I12" s="181"/>
      <c r="J12" s="183"/>
      <c r="K12" s="181"/>
    </row>
    <row r="13" spans="1:14" x14ac:dyDescent="0.25">
      <c r="A13" s="129" t="s">
        <v>78</v>
      </c>
      <c r="B13" s="130" t="s">
        <v>67</v>
      </c>
      <c r="C13" s="190">
        <v>41847.006000000001</v>
      </c>
      <c r="D13" s="190">
        <v>46781.483200000002</v>
      </c>
      <c r="E13" s="190">
        <f>D13-C13</f>
        <v>4934.4772000000012</v>
      </c>
      <c r="F13" s="191">
        <f>IF(C13=0,0,D13/C13*100)</f>
        <v>111.79170906515989</v>
      </c>
      <c r="G13" s="180"/>
      <c r="H13" s="181"/>
      <c r="I13" s="183"/>
      <c r="J13" s="181"/>
      <c r="K13" s="181"/>
    </row>
    <row r="14" spans="1:14" x14ac:dyDescent="0.25">
      <c r="A14" s="129" t="s">
        <v>79</v>
      </c>
      <c r="B14" s="130" t="s">
        <v>68</v>
      </c>
      <c r="C14" s="190">
        <v>27508.376</v>
      </c>
      <c r="D14" s="190">
        <v>17646.610184000001</v>
      </c>
      <c r="E14" s="190">
        <f>D14-C14</f>
        <v>-9861.7658159999992</v>
      </c>
      <c r="F14" s="191">
        <f t="shared" ref="F14:F48" si="2">IF(C14=0,0,D14/C14*100)</f>
        <v>64.149952668961632</v>
      </c>
      <c r="H14" s="183"/>
      <c r="I14" s="181"/>
      <c r="J14" s="183">
        <f>513733</f>
        <v>513733</v>
      </c>
      <c r="K14" s="181"/>
      <c r="N14" s="180"/>
    </row>
    <row r="15" spans="1:14" x14ac:dyDescent="0.25">
      <c r="A15" s="129" t="s">
        <v>80</v>
      </c>
      <c r="B15" s="130" t="s">
        <v>81</v>
      </c>
      <c r="C15" s="190">
        <v>70854.079670000006</v>
      </c>
      <c r="D15" s="190">
        <v>76839.697169999999</v>
      </c>
      <c r="E15" s="190">
        <f t="shared" ref="E15:E26" si="3">D15-C15</f>
        <v>5985.617499999993</v>
      </c>
      <c r="F15" s="191">
        <f t="shared" si="2"/>
        <v>108.44780925513078</v>
      </c>
      <c r="H15" s="181"/>
      <c r="I15" s="181"/>
      <c r="J15" s="183">
        <f>C11-J14</f>
        <v>1234787.58867</v>
      </c>
      <c r="K15" s="181"/>
    </row>
    <row r="16" spans="1:14" x14ac:dyDescent="0.25">
      <c r="A16" s="129" t="s">
        <v>82</v>
      </c>
      <c r="B16" s="130" t="s">
        <v>83</v>
      </c>
      <c r="C16" s="190">
        <v>3619.26</v>
      </c>
      <c r="D16" s="192">
        <v>7563.8</v>
      </c>
      <c r="E16" s="190">
        <f t="shared" si="3"/>
        <v>3944.54</v>
      </c>
      <c r="F16" s="191">
        <f t="shared" si="2"/>
        <v>208.98747257726717</v>
      </c>
      <c r="H16" s="181"/>
      <c r="I16" s="181"/>
      <c r="J16" s="183"/>
      <c r="K16" s="181"/>
    </row>
    <row r="17" spans="1:11" x14ac:dyDescent="0.25">
      <c r="A17" s="129" t="s">
        <v>84</v>
      </c>
      <c r="B17" s="130" t="s">
        <v>85</v>
      </c>
      <c r="C17" s="190">
        <v>1200</v>
      </c>
      <c r="D17" s="190">
        <v>1933.806</v>
      </c>
      <c r="E17" s="190">
        <f t="shared" si="3"/>
        <v>733.80600000000004</v>
      </c>
      <c r="F17" s="191">
        <f t="shared" si="2"/>
        <v>161.15049999999999</v>
      </c>
      <c r="H17" s="181"/>
      <c r="I17" s="181"/>
      <c r="J17" s="181"/>
      <c r="K17" s="181"/>
    </row>
    <row r="18" spans="1:11" x14ac:dyDescent="0.25">
      <c r="A18" s="129" t="s">
        <v>86</v>
      </c>
      <c r="B18" s="130" t="s">
        <v>87</v>
      </c>
      <c r="C18" s="190">
        <v>16698</v>
      </c>
      <c r="D18" s="190">
        <v>2808.5709999999999</v>
      </c>
      <c r="E18" s="190">
        <f t="shared" si="3"/>
        <v>-13889.429</v>
      </c>
      <c r="F18" s="191">
        <f t="shared" si="2"/>
        <v>16.819804767037969</v>
      </c>
      <c r="H18" s="183"/>
      <c r="I18" s="181"/>
      <c r="J18" s="181"/>
      <c r="K18" s="181"/>
    </row>
    <row r="19" spans="1:11" x14ac:dyDescent="0.25">
      <c r="A19" s="129" t="s">
        <v>88</v>
      </c>
      <c r="B19" s="130" t="s">
        <v>89</v>
      </c>
      <c r="C19" s="190">
        <v>9945.4419999999991</v>
      </c>
      <c r="D19" s="190">
        <v>9827.9020400000009</v>
      </c>
      <c r="E19" s="190">
        <f t="shared" si="3"/>
        <v>-117.53995999999825</v>
      </c>
      <c r="F19" s="191">
        <f t="shared" si="2"/>
        <v>98.818152476280105</v>
      </c>
      <c r="H19" s="181"/>
      <c r="I19" s="181"/>
      <c r="J19" s="181"/>
      <c r="K19" s="181"/>
    </row>
    <row r="20" spans="1:11" x14ac:dyDescent="0.25">
      <c r="A20" s="129" t="s">
        <v>90</v>
      </c>
      <c r="B20" s="130" t="s">
        <v>91</v>
      </c>
      <c r="C20" s="190">
        <v>1399596.838</v>
      </c>
      <c r="D20" s="190">
        <f>1660954.771322-D43-D44</f>
        <v>1590367.258225</v>
      </c>
      <c r="E20" s="190">
        <f t="shared" si="3"/>
        <v>190770.42022500001</v>
      </c>
      <c r="F20" s="191">
        <f t="shared" si="2"/>
        <v>113.63038376805765</v>
      </c>
      <c r="H20" s="193"/>
      <c r="I20" s="181"/>
      <c r="J20" s="181"/>
      <c r="K20" s="181"/>
    </row>
    <row r="21" spans="1:11" ht="25.5" x14ac:dyDescent="0.25">
      <c r="A21" s="129" t="s">
        <v>92</v>
      </c>
      <c r="B21" s="130" t="s">
        <v>93</v>
      </c>
      <c r="C21" s="190">
        <v>49364.587</v>
      </c>
      <c r="D21" s="190">
        <v>56657.996232999998</v>
      </c>
      <c r="E21" s="190">
        <f t="shared" si="3"/>
        <v>7293.4092329999985</v>
      </c>
      <c r="F21" s="191">
        <f t="shared" si="2"/>
        <v>114.77457764003979</v>
      </c>
    </row>
    <row r="22" spans="1:11" x14ac:dyDescent="0.25">
      <c r="A22" s="129" t="s">
        <v>94</v>
      </c>
      <c r="B22" s="130" t="s">
        <v>95</v>
      </c>
      <c r="C22" s="190">
        <v>1354</v>
      </c>
      <c r="D22" s="190">
        <v>1354</v>
      </c>
      <c r="E22" s="190">
        <f t="shared" si="3"/>
        <v>0</v>
      </c>
      <c r="F22" s="191">
        <f t="shared" si="2"/>
        <v>100</v>
      </c>
    </row>
    <row r="23" spans="1:11" ht="25.5" x14ac:dyDescent="0.25">
      <c r="A23" s="129" t="s">
        <v>502</v>
      </c>
      <c r="B23" s="130" t="s">
        <v>503</v>
      </c>
      <c r="C23" s="190">
        <v>126533</v>
      </c>
      <c r="D23" s="190">
        <v>131443.03610699999</v>
      </c>
      <c r="E23" s="190">
        <f t="shared" si="3"/>
        <v>4910.0361069999926</v>
      </c>
      <c r="F23" s="191">
        <f t="shared" si="2"/>
        <v>103.88043917950259</v>
      </c>
    </row>
    <row r="24" spans="1:11" x14ac:dyDescent="0.25">
      <c r="A24" s="129" t="s">
        <v>504</v>
      </c>
      <c r="B24" s="130" t="s">
        <v>71</v>
      </c>
      <c r="C24" s="190"/>
      <c r="D24" s="190"/>
      <c r="E24" s="190">
        <f t="shared" si="3"/>
        <v>0</v>
      </c>
      <c r="F24" s="191">
        <f t="shared" si="2"/>
        <v>0</v>
      </c>
    </row>
    <row r="25" spans="1:11" ht="71.25" customHeight="1" x14ac:dyDescent="0.25">
      <c r="A25" s="131">
        <v>2</v>
      </c>
      <c r="B25" s="132" t="s">
        <v>202</v>
      </c>
      <c r="C25" s="188"/>
      <c r="D25" s="188">
        <v>9596</v>
      </c>
      <c r="E25" s="188">
        <f t="shared" si="3"/>
        <v>9596</v>
      </c>
      <c r="F25" s="189">
        <f t="shared" si="2"/>
        <v>0</v>
      </c>
    </row>
    <row r="26" spans="1:11" x14ac:dyDescent="0.25">
      <c r="A26" s="131">
        <v>3</v>
      </c>
      <c r="B26" s="132" t="s">
        <v>71</v>
      </c>
      <c r="C26" s="188">
        <v>0</v>
      </c>
      <c r="D26" s="188"/>
      <c r="E26" s="188">
        <f t="shared" si="3"/>
        <v>0</v>
      </c>
      <c r="F26" s="189">
        <f t="shared" si="2"/>
        <v>0</v>
      </c>
    </row>
    <row r="27" spans="1:11" x14ac:dyDescent="0.25">
      <c r="A27" s="131" t="s">
        <v>25</v>
      </c>
      <c r="B27" s="132" t="s">
        <v>22</v>
      </c>
      <c r="C27" s="188">
        <f>SUM(C28:C39)</f>
        <v>1779288.9</v>
      </c>
      <c r="D27" s="188">
        <f>SUM(D28:D39)</f>
        <v>1838539</v>
      </c>
      <c r="E27" s="188">
        <f>SUM(E28:E39)</f>
        <v>59250.099999999977</v>
      </c>
      <c r="F27" s="189">
        <f t="shared" si="2"/>
        <v>103.32998761471508</v>
      </c>
      <c r="H27" s="180"/>
      <c r="I27" s="180"/>
    </row>
    <row r="28" spans="1:11" x14ac:dyDescent="0.25">
      <c r="A28" s="129">
        <v>1</v>
      </c>
      <c r="B28" s="130" t="s">
        <v>67</v>
      </c>
      <c r="C28" s="190">
        <f>385819+2479+654+6637</f>
        <v>395589</v>
      </c>
      <c r="D28" s="190">
        <v>426326</v>
      </c>
      <c r="E28" s="190">
        <f t="shared" ref="E28:E48" si="4">D28-C28</f>
        <v>30737</v>
      </c>
      <c r="F28" s="191">
        <f t="shared" si="2"/>
        <v>107.76993293544564</v>
      </c>
      <c r="H28" s="180"/>
      <c r="J28" s="180"/>
    </row>
    <row r="29" spans="1:11" x14ac:dyDescent="0.25">
      <c r="A29" s="129">
        <v>2</v>
      </c>
      <c r="B29" s="130" t="s">
        <v>505</v>
      </c>
      <c r="C29" s="190">
        <f>14942+500</f>
        <v>15442</v>
      </c>
      <c r="D29" s="190">
        <v>7465</v>
      </c>
      <c r="E29" s="190">
        <f t="shared" si="4"/>
        <v>-7977</v>
      </c>
      <c r="F29" s="191">
        <f t="shared" si="2"/>
        <v>48.342183654966973</v>
      </c>
      <c r="H29" s="180"/>
    </row>
    <row r="30" spans="1:11" x14ac:dyDescent="0.25">
      <c r="A30" s="129">
        <v>3</v>
      </c>
      <c r="B30" s="130" t="s">
        <v>81</v>
      </c>
      <c r="C30" s="190">
        <f>484362+4683+29575+6381+2156</f>
        <v>527157</v>
      </c>
      <c r="D30" s="190">
        <v>574150</v>
      </c>
      <c r="E30" s="190">
        <f t="shared" si="4"/>
        <v>46993</v>
      </c>
      <c r="F30" s="191">
        <f t="shared" si="2"/>
        <v>108.91442207919081</v>
      </c>
    </row>
    <row r="31" spans="1:11" x14ac:dyDescent="0.25">
      <c r="A31" s="129">
        <v>4</v>
      </c>
      <c r="B31" s="130" t="s">
        <v>83</v>
      </c>
      <c r="C31" s="190">
        <v>42130</v>
      </c>
      <c r="D31" s="190">
        <v>32063</v>
      </c>
      <c r="E31" s="190">
        <f t="shared" si="4"/>
        <v>-10067</v>
      </c>
      <c r="F31" s="191">
        <f t="shared" si="2"/>
        <v>76.104913363399007</v>
      </c>
      <c r="H31" s="180"/>
    </row>
    <row r="32" spans="1:11" x14ac:dyDescent="0.25">
      <c r="A32" s="129">
        <v>5</v>
      </c>
      <c r="B32" s="130" t="s">
        <v>85</v>
      </c>
      <c r="C32" s="190">
        <v>16918</v>
      </c>
      <c r="D32" s="190">
        <v>17009</v>
      </c>
      <c r="E32" s="190">
        <f t="shared" si="4"/>
        <v>91</v>
      </c>
      <c r="F32" s="191">
        <f t="shared" si="2"/>
        <v>100.53788863931908</v>
      </c>
    </row>
    <row r="33" spans="1:9" x14ac:dyDescent="0.25">
      <c r="A33" s="129">
        <v>6</v>
      </c>
      <c r="B33" s="130" t="s">
        <v>87</v>
      </c>
      <c r="C33" s="190">
        <v>13216</v>
      </c>
      <c r="D33" s="190">
        <v>9172</v>
      </c>
      <c r="E33" s="190">
        <f t="shared" si="4"/>
        <v>-4044</v>
      </c>
      <c r="F33" s="191">
        <f t="shared" si="2"/>
        <v>69.400726392251826</v>
      </c>
    </row>
    <row r="34" spans="1:9" x14ac:dyDescent="0.25">
      <c r="A34" s="129">
        <v>7</v>
      </c>
      <c r="B34" s="130" t="s">
        <v>89</v>
      </c>
      <c r="C34" s="190">
        <v>5658</v>
      </c>
      <c r="D34" s="190">
        <v>4748</v>
      </c>
      <c r="E34" s="190">
        <f t="shared" si="4"/>
        <v>-910</v>
      </c>
      <c r="F34" s="191">
        <f t="shared" si="2"/>
        <v>83.91657829621775</v>
      </c>
    </row>
    <row r="35" spans="1:9" x14ac:dyDescent="0.25">
      <c r="A35" s="129">
        <v>8</v>
      </c>
      <c r="B35" s="130" t="s">
        <v>91</v>
      </c>
      <c r="C35" s="190">
        <f>197165.5+5144+44194+1829</f>
        <v>248332.5</v>
      </c>
      <c r="D35" s="190">
        <v>316499</v>
      </c>
      <c r="E35" s="190">
        <f t="shared" si="4"/>
        <v>68166.5</v>
      </c>
      <c r="F35" s="191">
        <f t="shared" si="2"/>
        <v>127.44968942848803</v>
      </c>
    </row>
    <row r="36" spans="1:9" ht="25.5" x14ac:dyDescent="0.25">
      <c r="A36" s="129">
        <v>9</v>
      </c>
      <c r="B36" s="130" t="s">
        <v>93</v>
      </c>
      <c r="C36" s="190">
        <f>342545.4</f>
        <v>342545.4</v>
      </c>
      <c r="D36" s="190">
        <v>324866</v>
      </c>
      <c r="E36" s="190">
        <f t="shared" si="4"/>
        <v>-17679.400000000023</v>
      </c>
      <c r="F36" s="191">
        <f t="shared" si="2"/>
        <v>94.838815526350658</v>
      </c>
    </row>
    <row r="37" spans="1:9" x14ac:dyDescent="0.25">
      <c r="A37" s="129">
        <v>10</v>
      </c>
      <c r="B37" s="130" t="s">
        <v>95</v>
      </c>
      <c r="C37" s="190">
        <f>38788+11500+196+11109</f>
        <v>61593</v>
      </c>
      <c r="D37" s="190">
        <v>25149</v>
      </c>
      <c r="E37" s="190">
        <f t="shared" si="4"/>
        <v>-36444</v>
      </c>
      <c r="F37" s="191">
        <f t="shared" si="2"/>
        <v>40.830938580682869</v>
      </c>
    </row>
    <row r="38" spans="1:9" ht="25.5" x14ac:dyDescent="0.25">
      <c r="A38" s="129">
        <v>11</v>
      </c>
      <c r="B38" s="130" t="s">
        <v>503</v>
      </c>
      <c r="C38" s="190">
        <f>65501+1288+8622+5000</f>
        <v>80411</v>
      </c>
      <c r="D38" s="190">
        <f>70465+25483</f>
        <v>95948</v>
      </c>
      <c r="E38" s="190">
        <f t="shared" si="4"/>
        <v>15537</v>
      </c>
      <c r="F38" s="191">
        <f t="shared" si="2"/>
        <v>119.32198331074106</v>
      </c>
    </row>
    <row r="39" spans="1:9" x14ac:dyDescent="0.25">
      <c r="A39" s="129">
        <v>12</v>
      </c>
      <c r="B39" s="130" t="s">
        <v>506</v>
      </c>
      <c r="C39" s="190">
        <f>29462+668+167</f>
        <v>30297</v>
      </c>
      <c r="D39" s="190">
        <v>5144</v>
      </c>
      <c r="E39" s="190">
        <f t="shared" si="4"/>
        <v>-25153</v>
      </c>
      <c r="F39" s="191">
        <f t="shared" si="2"/>
        <v>16.978578737168696</v>
      </c>
      <c r="H39" s="180"/>
    </row>
    <row r="40" spans="1:9" ht="25.5" x14ac:dyDescent="0.25">
      <c r="A40" s="131" t="s">
        <v>29</v>
      </c>
      <c r="B40" s="126" t="s">
        <v>507</v>
      </c>
      <c r="C40" s="188">
        <v>2000</v>
      </c>
      <c r="D40" s="188">
        <f>'[2]Bieu 51_'!D24</f>
        <v>9500.851999999999</v>
      </c>
      <c r="E40" s="188">
        <f t="shared" si="4"/>
        <v>7500.851999999999</v>
      </c>
      <c r="F40" s="189">
        <f t="shared" si="2"/>
        <v>475.04259999999994</v>
      </c>
      <c r="I40" s="194"/>
    </row>
    <row r="41" spans="1:9" x14ac:dyDescent="0.25">
      <c r="A41" s="131" t="s">
        <v>56</v>
      </c>
      <c r="B41" s="132" t="s">
        <v>508</v>
      </c>
      <c r="C41" s="188">
        <v>1000</v>
      </c>
      <c r="D41" s="188">
        <v>1000</v>
      </c>
      <c r="E41" s="188">
        <f t="shared" si="4"/>
        <v>0</v>
      </c>
      <c r="F41" s="189">
        <f t="shared" si="2"/>
        <v>100</v>
      </c>
    </row>
    <row r="42" spans="1:9" x14ac:dyDescent="0.25">
      <c r="A42" s="131" t="s">
        <v>73</v>
      </c>
      <c r="B42" s="132" t="s">
        <v>24</v>
      </c>
      <c r="C42" s="188">
        <v>66785</v>
      </c>
      <c r="D42" s="188"/>
      <c r="E42" s="188">
        <f t="shared" si="4"/>
        <v>-66785</v>
      </c>
      <c r="F42" s="189">
        <f t="shared" si="2"/>
        <v>0</v>
      </c>
    </row>
    <row r="43" spans="1:9" x14ac:dyDescent="0.25">
      <c r="A43" s="131" t="s">
        <v>74</v>
      </c>
      <c r="B43" s="132" t="s">
        <v>243</v>
      </c>
      <c r="C43" s="188">
        <v>83900</v>
      </c>
      <c r="D43" s="188">
        <v>19277.513097000003</v>
      </c>
      <c r="E43" s="188">
        <f t="shared" si="4"/>
        <v>-64622.486902999997</v>
      </c>
      <c r="F43" s="189">
        <f t="shared" si="2"/>
        <v>22.976773655542317</v>
      </c>
    </row>
    <row r="44" spans="1:9" ht="76.5" x14ac:dyDescent="0.25">
      <c r="A44" s="131" t="s">
        <v>383</v>
      </c>
      <c r="B44" s="132" t="s">
        <v>436</v>
      </c>
      <c r="C44" s="188">
        <v>789492</v>
      </c>
      <c r="D44" s="188">
        <f>'[2]Bieu 51_'!D27</f>
        <v>51310</v>
      </c>
      <c r="E44" s="188">
        <f t="shared" si="4"/>
        <v>-738182</v>
      </c>
      <c r="F44" s="189">
        <f t="shared" si="2"/>
        <v>6.4991158871780836</v>
      </c>
    </row>
    <row r="45" spans="1:9" x14ac:dyDescent="0.25">
      <c r="A45" s="131" t="s">
        <v>384</v>
      </c>
      <c r="B45" s="132" t="s">
        <v>425</v>
      </c>
      <c r="C45" s="188">
        <v>39000</v>
      </c>
      <c r="D45" s="188"/>
      <c r="E45" s="188">
        <f>D45-C45</f>
        <v>-39000</v>
      </c>
      <c r="F45" s="189">
        <f t="shared" si="2"/>
        <v>0</v>
      </c>
    </row>
    <row r="46" spans="1:9" x14ac:dyDescent="0.25">
      <c r="A46" s="131" t="s">
        <v>509</v>
      </c>
      <c r="B46" s="132" t="s">
        <v>437</v>
      </c>
      <c r="C46" s="188"/>
      <c r="D46" s="188">
        <v>11899.7</v>
      </c>
      <c r="E46" s="188"/>
      <c r="F46" s="189"/>
    </row>
    <row r="47" spans="1:9" x14ac:dyDescent="0.25">
      <c r="A47" s="131" t="s">
        <v>31</v>
      </c>
      <c r="B47" s="132" t="s">
        <v>76</v>
      </c>
      <c r="C47" s="188"/>
      <c r="D47" s="188">
        <v>1326874.6170000001</v>
      </c>
      <c r="E47" s="188">
        <f t="shared" si="4"/>
        <v>1326874.6170000001</v>
      </c>
      <c r="F47" s="189">
        <f t="shared" si="2"/>
        <v>0</v>
      </c>
      <c r="I47" s="180"/>
    </row>
    <row r="48" spans="1:9" x14ac:dyDescent="0.25">
      <c r="A48" s="137" t="s">
        <v>32</v>
      </c>
      <c r="B48" s="138" t="s">
        <v>510</v>
      </c>
      <c r="C48" s="195"/>
      <c r="D48" s="195">
        <v>331567.81599999999</v>
      </c>
      <c r="E48" s="195">
        <f t="shared" si="4"/>
        <v>331567.81599999999</v>
      </c>
      <c r="F48" s="196">
        <f t="shared" si="2"/>
        <v>0</v>
      </c>
    </row>
    <row r="49" spans="1:6" ht="30" customHeight="1" x14ac:dyDescent="0.25">
      <c r="A49" s="345" t="s">
        <v>511</v>
      </c>
      <c r="B49" s="345"/>
      <c r="C49" s="345"/>
      <c r="D49" s="345"/>
      <c r="E49" s="345"/>
      <c r="F49" s="345"/>
    </row>
    <row r="50" spans="1:6" ht="34.5" customHeight="1" x14ac:dyDescent="0.25">
      <c r="A50" s="346" t="s">
        <v>512</v>
      </c>
      <c r="B50" s="346"/>
      <c r="C50" s="346"/>
      <c r="D50" s="346"/>
      <c r="E50" s="346"/>
      <c r="F50" s="346"/>
    </row>
    <row r="51" spans="1:6" ht="34.5" customHeight="1" x14ac:dyDescent="0.25">
      <c r="A51" s="346" t="s">
        <v>513</v>
      </c>
      <c r="B51" s="346"/>
      <c r="C51" s="346"/>
      <c r="D51" s="346"/>
      <c r="E51" s="346"/>
      <c r="F51" s="346"/>
    </row>
    <row r="52" spans="1:6" x14ac:dyDescent="0.25">
      <c r="A52" s="346"/>
      <c r="B52" s="346"/>
      <c r="C52" s="346"/>
      <c r="D52" s="346"/>
      <c r="E52" s="346"/>
      <c r="F52" s="346"/>
    </row>
  </sheetData>
  <mergeCells count="12">
    <mergeCell ref="A49:F49"/>
    <mergeCell ref="A50:F50"/>
    <mergeCell ref="A51:F51"/>
    <mergeCell ref="A52:F52"/>
    <mergeCell ref="A2:F2"/>
    <mergeCell ref="A3:F3"/>
    <mergeCell ref="E4:F4"/>
    <mergeCell ref="A5:A6"/>
    <mergeCell ref="B5:B6"/>
    <mergeCell ref="C5:C6"/>
    <mergeCell ref="D5:D6"/>
    <mergeCell ref="E5:F5"/>
  </mergeCells>
  <dataValidations count="1">
    <dataValidation allowBlank="1" showInputMessage="1" showErrorMessage="1" prompt="Chưa bao gồm bổ sung mục tiêu NS cấp dưới" sqref="D8"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123"/>
  <sheetViews>
    <sheetView zoomScale="80" zoomScaleNormal="80" workbookViewId="0">
      <selection activeCell="C13" sqref="C13"/>
    </sheetView>
  </sheetViews>
  <sheetFormatPr defaultRowHeight="15.75" outlineLevelCol="2" x14ac:dyDescent="0.25"/>
  <cols>
    <col min="1" max="1" width="5.42578125" style="9" customWidth="1"/>
    <col min="2" max="2" width="45.140625" style="9" customWidth="1"/>
    <col min="3" max="3" width="15.140625" style="9" customWidth="1"/>
    <col min="4" max="4" width="16.42578125" style="9" customWidth="1" outlineLevel="1"/>
    <col min="5" max="5" width="17.140625" style="9" customWidth="1" outlineLevel="1"/>
    <col min="6" max="8" width="17.140625" style="9" hidden="1" customWidth="1" outlineLevel="2"/>
    <col min="9" max="9" width="15.85546875" style="9" customWidth="1" outlineLevel="1" collapsed="1"/>
    <col min="10" max="10" width="13.85546875" style="9" customWidth="1" outlineLevel="1"/>
    <col min="11" max="11" width="11.140625" style="9" customWidth="1" outlineLevel="1"/>
    <col min="12" max="12" width="11.85546875" style="9" customWidth="1" outlineLevel="1"/>
    <col min="13" max="13" width="10.42578125" style="9" customWidth="1" outlineLevel="1"/>
    <col min="14" max="14" width="16.42578125" style="9" customWidth="1"/>
    <col min="15" max="15" width="14.140625" style="9" customWidth="1" outlineLevel="1"/>
    <col min="16" max="16" width="15.85546875" style="9" customWidth="1" outlineLevel="1"/>
    <col min="17" max="17" width="18.85546875" style="9" hidden="1" customWidth="1" outlineLevel="2"/>
    <col min="18" max="18" width="18.42578125" style="9" hidden="1" customWidth="1" outlineLevel="2"/>
    <col min="19" max="19" width="11.85546875" style="9" customWidth="1" outlineLevel="1" collapsed="1"/>
    <col min="20" max="20" width="20.7109375" style="9" customWidth="1" outlineLevel="1"/>
    <col min="21" max="21" width="15.5703125" style="9" customWidth="1" outlineLevel="1"/>
    <col min="22" max="22" width="12.5703125" style="9" customWidth="1" outlineLevel="1"/>
    <col min="23" max="23" width="11.140625" style="9" customWidth="1" outlineLevel="1"/>
    <col min="24" max="24" width="15.5703125" style="9" customWidth="1" outlineLevel="1"/>
    <col min="25" max="25" width="13.7109375" style="9" hidden="1" customWidth="1" outlineLevel="2"/>
    <col min="26" max="26" width="11.7109375" style="9" hidden="1" customWidth="1" outlineLevel="2"/>
    <col min="27" max="27" width="15" style="9" customWidth="1" outlineLevel="1" collapsed="1"/>
    <col min="28" max="28" width="11.140625" style="9" customWidth="1"/>
    <col min="29" max="29" width="10.7109375" style="9" customWidth="1"/>
    <col min="30" max="30" width="9.7109375" style="9" customWidth="1"/>
    <col min="31" max="31" width="11.5703125" style="9" customWidth="1"/>
    <col min="32" max="32" width="9.140625" style="96"/>
    <col min="33" max="33" width="17.5703125" style="9" customWidth="1"/>
    <col min="34" max="34" width="31.140625" style="9" customWidth="1"/>
    <col min="35" max="35" width="16.7109375" style="9" customWidth="1"/>
    <col min="36" max="36" width="9.140625" style="9"/>
    <col min="37" max="37" width="22.28515625" style="9" customWidth="1"/>
    <col min="38" max="38" width="24.42578125" style="9" customWidth="1"/>
    <col min="39" max="262" width="9.140625" style="9"/>
    <col min="263" max="263" width="5.42578125" style="9" customWidth="1"/>
    <col min="264" max="264" width="45.140625" style="9" customWidth="1"/>
    <col min="265" max="266" width="12" style="9" customWidth="1"/>
    <col min="267" max="267" width="16.140625" style="9" customWidth="1"/>
    <col min="268" max="268" width="7.7109375" style="9" customWidth="1"/>
    <col min="269" max="269" width="12" style="9" customWidth="1"/>
    <col min="270" max="271" width="9" style="9" customWidth="1"/>
    <col min="272" max="272" width="11.28515625" style="9" customWidth="1"/>
    <col min="273" max="274" width="12" style="9" customWidth="1"/>
    <col min="275" max="275" width="17.140625" style="9" customWidth="1"/>
    <col min="276" max="276" width="9" style="9" customWidth="1"/>
    <col min="277" max="277" width="12" style="9" customWidth="1"/>
    <col min="278" max="279" width="9" style="9" customWidth="1"/>
    <col min="280" max="280" width="9.85546875" style="9" customWidth="1"/>
    <col min="281" max="281" width="10.140625" style="9" customWidth="1"/>
    <col min="282" max="282" width="7.85546875" style="9" customWidth="1"/>
    <col min="283" max="283" width="8.5703125" style="9" customWidth="1"/>
    <col min="284" max="284" width="7.85546875" style="9" customWidth="1"/>
    <col min="285" max="285" width="8.7109375" style="9" customWidth="1"/>
    <col min="286" max="518" width="9.140625" style="9"/>
    <col min="519" max="519" width="5.42578125" style="9" customWidth="1"/>
    <col min="520" max="520" width="45.140625" style="9" customWidth="1"/>
    <col min="521" max="522" width="12" style="9" customWidth="1"/>
    <col min="523" max="523" width="16.140625" style="9" customWidth="1"/>
    <col min="524" max="524" width="7.7109375" style="9" customWidth="1"/>
    <col min="525" max="525" width="12" style="9" customWidth="1"/>
    <col min="526" max="527" width="9" style="9" customWidth="1"/>
    <col min="528" max="528" width="11.28515625" style="9" customWidth="1"/>
    <col min="529" max="530" width="12" style="9" customWidth="1"/>
    <col min="531" max="531" width="17.140625" style="9" customWidth="1"/>
    <col min="532" max="532" width="9" style="9" customWidth="1"/>
    <col min="533" max="533" width="12" style="9" customWidth="1"/>
    <col min="534" max="535" width="9" style="9" customWidth="1"/>
    <col min="536" max="536" width="9.85546875" style="9" customWidth="1"/>
    <col min="537" max="537" width="10.140625" style="9" customWidth="1"/>
    <col min="538" max="538" width="7.85546875" style="9" customWidth="1"/>
    <col min="539" max="539" width="8.5703125" style="9" customWidth="1"/>
    <col min="540" max="540" width="7.85546875" style="9" customWidth="1"/>
    <col min="541" max="541" width="8.7109375" style="9" customWidth="1"/>
    <col min="542" max="774" width="9.140625" style="9"/>
    <col min="775" max="775" width="5.42578125" style="9" customWidth="1"/>
    <col min="776" max="776" width="45.140625" style="9" customWidth="1"/>
    <col min="777" max="778" width="12" style="9" customWidth="1"/>
    <col min="779" max="779" width="16.140625" style="9" customWidth="1"/>
    <col min="780" max="780" width="7.7109375" style="9" customWidth="1"/>
    <col min="781" max="781" width="12" style="9" customWidth="1"/>
    <col min="782" max="783" width="9" style="9" customWidth="1"/>
    <col min="784" max="784" width="11.28515625" style="9" customWidth="1"/>
    <col min="785" max="786" width="12" style="9" customWidth="1"/>
    <col min="787" max="787" width="17.140625" style="9" customWidth="1"/>
    <col min="788" max="788" width="9" style="9" customWidth="1"/>
    <col min="789" max="789" width="12" style="9" customWidth="1"/>
    <col min="790" max="791" width="9" style="9" customWidth="1"/>
    <col min="792" max="792" width="9.85546875" style="9" customWidth="1"/>
    <col min="793" max="793" width="10.140625" style="9" customWidth="1"/>
    <col min="794" max="794" width="7.85546875" style="9" customWidth="1"/>
    <col min="795" max="795" width="8.5703125" style="9" customWidth="1"/>
    <col min="796" max="796" width="7.85546875" style="9" customWidth="1"/>
    <col min="797" max="797" width="8.7109375" style="9" customWidth="1"/>
    <col min="798" max="1030" width="9.140625" style="9"/>
    <col min="1031" max="1031" width="5.42578125" style="9" customWidth="1"/>
    <col min="1032" max="1032" width="45.140625" style="9" customWidth="1"/>
    <col min="1033" max="1034" width="12" style="9" customWidth="1"/>
    <col min="1035" max="1035" width="16.140625" style="9" customWidth="1"/>
    <col min="1036" max="1036" width="7.7109375" style="9" customWidth="1"/>
    <col min="1037" max="1037" width="12" style="9" customWidth="1"/>
    <col min="1038" max="1039" width="9" style="9" customWidth="1"/>
    <col min="1040" max="1040" width="11.28515625" style="9" customWidth="1"/>
    <col min="1041" max="1042" width="12" style="9" customWidth="1"/>
    <col min="1043" max="1043" width="17.140625" style="9" customWidth="1"/>
    <col min="1044" max="1044" width="9" style="9" customWidth="1"/>
    <col min="1045" max="1045" width="12" style="9" customWidth="1"/>
    <col min="1046" max="1047" width="9" style="9" customWidth="1"/>
    <col min="1048" max="1048" width="9.85546875" style="9" customWidth="1"/>
    <col min="1049" max="1049" width="10.140625" style="9" customWidth="1"/>
    <col min="1050" max="1050" width="7.85546875" style="9" customWidth="1"/>
    <col min="1051" max="1051" width="8.5703125" style="9" customWidth="1"/>
    <col min="1052" max="1052" width="7.85546875" style="9" customWidth="1"/>
    <col min="1053" max="1053" width="8.7109375" style="9" customWidth="1"/>
    <col min="1054" max="1286" width="9.140625" style="9"/>
    <col min="1287" max="1287" width="5.42578125" style="9" customWidth="1"/>
    <col min="1288" max="1288" width="45.140625" style="9" customWidth="1"/>
    <col min="1289" max="1290" width="12" style="9" customWidth="1"/>
    <col min="1291" max="1291" width="16.140625" style="9" customWidth="1"/>
    <col min="1292" max="1292" width="7.7109375" style="9" customWidth="1"/>
    <col min="1293" max="1293" width="12" style="9" customWidth="1"/>
    <col min="1294" max="1295" width="9" style="9" customWidth="1"/>
    <col min="1296" max="1296" width="11.28515625" style="9" customWidth="1"/>
    <col min="1297" max="1298" width="12" style="9" customWidth="1"/>
    <col min="1299" max="1299" width="17.140625" style="9" customWidth="1"/>
    <col min="1300" max="1300" width="9" style="9" customWidth="1"/>
    <col min="1301" max="1301" width="12" style="9" customWidth="1"/>
    <col min="1302" max="1303" width="9" style="9" customWidth="1"/>
    <col min="1304" max="1304" width="9.85546875" style="9" customWidth="1"/>
    <col min="1305" max="1305" width="10.140625" style="9" customWidth="1"/>
    <col min="1306" max="1306" width="7.85546875" style="9" customWidth="1"/>
    <col min="1307" max="1307" width="8.5703125" style="9" customWidth="1"/>
    <col min="1308" max="1308" width="7.85546875" style="9" customWidth="1"/>
    <col min="1309" max="1309" width="8.7109375" style="9" customWidth="1"/>
    <col min="1310" max="1542" width="9.140625" style="9"/>
    <col min="1543" max="1543" width="5.42578125" style="9" customWidth="1"/>
    <col min="1544" max="1544" width="45.140625" style="9" customWidth="1"/>
    <col min="1545" max="1546" width="12" style="9" customWidth="1"/>
    <col min="1547" max="1547" width="16.140625" style="9" customWidth="1"/>
    <col min="1548" max="1548" width="7.7109375" style="9" customWidth="1"/>
    <col min="1549" max="1549" width="12" style="9" customWidth="1"/>
    <col min="1550" max="1551" width="9" style="9" customWidth="1"/>
    <col min="1552" max="1552" width="11.28515625" style="9" customWidth="1"/>
    <col min="1553" max="1554" width="12" style="9" customWidth="1"/>
    <col min="1555" max="1555" width="17.140625" style="9" customWidth="1"/>
    <col min="1556" max="1556" width="9" style="9" customWidth="1"/>
    <col min="1557" max="1557" width="12" style="9" customWidth="1"/>
    <col min="1558" max="1559" width="9" style="9" customWidth="1"/>
    <col min="1560" max="1560" width="9.85546875" style="9" customWidth="1"/>
    <col min="1561" max="1561" width="10.140625" style="9" customWidth="1"/>
    <col min="1562" max="1562" width="7.85546875" style="9" customWidth="1"/>
    <col min="1563" max="1563" width="8.5703125" style="9" customWidth="1"/>
    <col min="1564" max="1564" width="7.85546875" style="9" customWidth="1"/>
    <col min="1565" max="1565" width="8.7109375" style="9" customWidth="1"/>
    <col min="1566" max="1798" width="9.140625" style="9"/>
    <col min="1799" max="1799" width="5.42578125" style="9" customWidth="1"/>
    <col min="1800" max="1800" width="45.140625" style="9" customWidth="1"/>
    <col min="1801" max="1802" width="12" style="9" customWidth="1"/>
    <col min="1803" max="1803" width="16.140625" style="9" customWidth="1"/>
    <col min="1804" max="1804" width="7.7109375" style="9" customWidth="1"/>
    <col min="1805" max="1805" width="12" style="9" customWidth="1"/>
    <col min="1806" max="1807" width="9" style="9" customWidth="1"/>
    <col min="1808" max="1808" width="11.28515625" style="9" customWidth="1"/>
    <col min="1809" max="1810" width="12" style="9" customWidth="1"/>
    <col min="1811" max="1811" width="17.140625" style="9" customWidth="1"/>
    <col min="1812" max="1812" width="9" style="9" customWidth="1"/>
    <col min="1813" max="1813" width="12" style="9" customWidth="1"/>
    <col min="1814" max="1815" width="9" style="9" customWidth="1"/>
    <col min="1816" max="1816" width="9.85546875" style="9" customWidth="1"/>
    <col min="1817" max="1817" width="10.140625" style="9" customWidth="1"/>
    <col min="1818" max="1818" width="7.85546875" style="9" customWidth="1"/>
    <col min="1819" max="1819" width="8.5703125" style="9" customWidth="1"/>
    <col min="1820" max="1820" width="7.85546875" style="9" customWidth="1"/>
    <col min="1821" max="1821" width="8.7109375" style="9" customWidth="1"/>
    <col min="1822" max="2054" width="9.140625" style="9"/>
    <col min="2055" max="2055" width="5.42578125" style="9" customWidth="1"/>
    <col min="2056" max="2056" width="45.140625" style="9" customWidth="1"/>
    <col min="2057" max="2058" width="12" style="9" customWidth="1"/>
    <col min="2059" max="2059" width="16.140625" style="9" customWidth="1"/>
    <col min="2060" max="2060" width="7.7109375" style="9" customWidth="1"/>
    <col min="2061" max="2061" width="12" style="9" customWidth="1"/>
    <col min="2062" max="2063" width="9" style="9" customWidth="1"/>
    <col min="2064" max="2064" width="11.28515625" style="9" customWidth="1"/>
    <col min="2065" max="2066" width="12" style="9" customWidth="1"/>
    <col min="2067" max="2067" width="17.140625" style="9" customWidth="1"/>
    <col min="2068" max="2068" width="9" style="9" customWidth="1"/>
    <col min="2069" max="2069" width="12" style="9" customWidth="1"/>
    <col min="2070" max="2071" width="9" style="9" customWidth="1"/>
    <col min="2072" max="2072" width="9.85546875" style="9" customWidth="1"/>
    <col min="2073" max="2073" width="10.140625" style="9" customWidth="1"/>
    <col min="2074" max="2074" width="7.85546875" style="9" customWidth="1"/>
    <col min="2075" max="2075" width="8.5703125" style="9" customWidth="1"/>
    <col min="2076" max="2076" width="7.85546875" style="9" customWidth="1"/>
    <col min="2077" max="2077" width="8.7109375" style="9" customWidth="1"/>
    <col min="2078" max="2310" width="9.140625" style="9"/>
    <col min="2311" max="2311" width="5.42578125" style="9" customWidth="1"/>
    <col min="2312" max="2312" width="45.140625" style="9" customWidth="1"/>
    <col min="2313" max="2314" width="12" style="9" customWidth="1"/>
    <col min="2315" max="2315" width="16.140625" style="9" customWidth="1"/>
    <col min="2316" max="2316" width="7.7109375" style="9" customWidth="1"/>
    <col min="2317" max="2317" width="12" style="9" customWidth="1"/>
    <col min="2318" max="2319" width="9" style="9" customWidth="1"/>
    <col min="2320" max="2320" width="11.28515625" style="9" customWidth="1"/>
    <col min="2321" max="2322" width="12" style="9" customWidth="1"/>
    <col min="2323" max="2323" width="17.140625" style="9" customWidth="1"/>
    <col min="2324" max="2324" width="9" style="9" customWidth="1"/>
    <col min="2325" max="2325" width="12" style="9" customWidth="1"/>
    <col min="2326" max="2327" width="9" style="9" customWidth="1"/>
    <col min="2328" max="2328" width="9.85546875" style="9" customWidth="1"/>
    <col min="2329" max="2329" width="10.140625" style="9" customWidth="1"/>
    <col min="2330" max="2330" width="7.85546875" style="9" customWidth="1"/>
    <col min="2331" max="2331" width="8.5703125" style="9" customWidth="1"/>
    <col min="2332" max="2332" width="7.85546875" style="9" customWidth="1"/>
    <col min="2333" max="2333" width="8.7109375" style="9" customWidth="1"/>
    <col min="2334" max="2566" width="9.140625" style="9"/>
    <col min="2567" max="2567" width="5.42578125" style="9" customWidth="1"/>
    <col min="2568" max="2568" width="45.140625" style="9" customWidth="1"/>
    <col min="2569" max="2570" width="12" style="9" customWidth="1"/>
    <col min="2571" max="2571" width="16.140625" style="9" customWidth="1"/>
    <col min="2572" max="2572" width="7.7109375" style="9" customWidth="1"/>
    <col min="2573" max="2573" width="12" style="9" customWidth="1"/>
    <col min="2574" max="2575" width="9" style="9" customWidth="1"/>
    <col min="2576" max="2576" width="11.28515625" style="9" customWidth="1"/>
    <col min="2577" max="2578" width="12" style="9" customWidth="1"/>
    <col min="2579" max="2579" width="17.140625" style="9" customWidth="1"/>
    <col min="2580" max="2580" width="9" style="9" customWidth="1"/>
    <col min="2581" max="2581" width="12" style="9" customWidth="1"/>
    <col min="2582" max="2583" width="9" style="9" customWidth="1"/>
    <col min="2584" max="2584" width="9.85546875" style="9" customWidth="1"/>
    <col min="2585" max="2585" width="10.140625" style="9" customWidth="1"/>
    <col min="2586" max="2586" width="7.85546875" style="9" customWidth="1"/>
    <col min="2587" max="2587" width="8.5703125" style="9" customWidth="1"/>
    <col min="2588" max="2588" width="7.85546875" style="9" customWidth="1"/>
    <col min="2589" max="2589" width="8.7109375" style="9" customWidth="1"/>
    <col min="2590" max="2822" width="9.140625" style="9"/>
    <col min="2823" max="2823" width="5.42578125" style="9" customWidth="1"/>
    <col min="2824" max="2824" width="45.140625" style="9" customWidth="1"/>
    <col min="2825" max="2826" width="12" style="9" customWidth="1"/>
    <col min="2827" max="2827" width="16.140625" style="9" customWidth="1"/>
    <col min="2828" max="2828" width="7.7109375" style="9" customWidth="1"/>
    <col min="2829" max="2829" width="12" style="9" customWidth="1"/>
    <col min="2830" max="2831" width="9" style="9" customWidth="1"/>
    <col min="2832" max="2832" width="11.28515625" style="9" customWidth="1"/>
    <col min="2833" max="2834" width="12" style="9" customWidth="1"/>
    <col min="2835" max="2835" width="17.140625" style="9" customWidth="1"/>
    <col min="2836" max="2836" width="9" style="9" customWidth="1"/>
    <col min="2837" max="2837" width="12" style="9" customWidth="1"/>
    <col min="2838" max="2839" width="9" style="9" customWidth="1"/>
    <col min="2840" max="2840" width="9.85546875" style="9" customWidth="1"/>
    <col min="2841" max="2841" width="10.140625" style="9" customWidth="1"/>
    <col min="2842" max="2842" width="7.85546875" style="9" customWidth="1"/>
    <col min="2843" max="2843" width="8.5703125" style="9" customWidth="1"/>
    <col min="2844" max="2844" width="7.85546875" style="9" customWidth="1"/>
    <col min="2845" max="2845" width="8.7109375" style="9" customWidth="1"/>
    <col min="2846" max="3078" width="9.140625" style="9"/>
    <col min="3079" max="3079" width="5.42578125" style="9" customWidth="1"/>
    <col min="3080" max="3080" width="45.140625" style="9" customWidth="1"/>
    <col min="3081" max="3082" width="12" style="9" customWidth="1"/>
    <col min="3083" max="3083" width="16.140625" style="9" customWidth="1"/>
    <col min="3084" max="3084" width="7.7109375" style="9" customWidth="1"/>
    <col min="3085" max="3085" width="12" style="9" customWidth="1"/>
    <col min="3086" max="3087" width="9" style="9" customWidth="1"/>
    <col min="3088" max="3088" width="11.28515625" style="9" customWidth="1"/>
    <col min="3089" max="3090" width="12" style="9" customWidth="1"/>
    <col min="3091" max="3091" width="17.140625" style="9" customWidth="1"/>
    <col min="3092" max="3092" width="9" style="9" customWidth="1"/>
    <col min="3093" max="3093" width="12" style="9" customWidth="1"/>
    <col min="3094" max="3095" width="9" style="9" customWidth="1"/>
    <col min="3096" max="3096" width="9.85546875" style="9" customWidth="1"/>
    <col min="3097" max="3097" width="10.140625" style="9" customWidth="1"/>
    <col min="3098" max="3098" width="7.85546875" style="9" customWidth="1"/>
    <col min="3099" max="3099" width="8.5703125" style="9" customWidth="1"/>
    <col min="3100" max="3100" width="7.85546875" style="9" customWidth="1"/>
    <col min="3101" max="3101" width="8.7109375" style="9" customWidth="1"/>
    <col min="3102" max="3334" width="9.140625" style="9"/>
    <col min="3335" max="3335" width="5.42578125" style="9" customWidth="1"/>
    <col min="3336" max="3336" width="45.140625" style="9" customWidth="1"/>
    <col min="3337" max="3338" width="12" style="9" customWidth="1"/>
    <col min="3339" max="3339" width="16.140625" style="9" customWidth="1"/>
    <col min="3340" max="3340" width="7.7109375" style="9" customWidth="1"/>
    <col min="3341" max="3341" width="12" style="9" customWidth="1"/>
    <col min="3342" max="3343" width="9" style="9" customWidth="1"/>
    <col min="3344" max="3344" width="11.28515625" style="9" customWidth="1"/>
    <col min="3345" max="3346" width="12" style="9" customWidth="1"/>
    <col min="3347" max="3347" width="17.140625" style="9" customWidth="1"/>
    <col min="3348" max="3348" width="9" style="9" customWidth="1"/>
    <col min="3349" max="3349" width="12" style="9" customWidth="1"/>
    <col min="3350" max="3351" width="9" style="9" customWidth="1"/>
    <col min="3352" max="3352" width="9.85546875" style="9" customWidth="1"/>
    <col min="3353" max="3353" width="10.140625" style="9" customWidth="1"/>
    <col min="3354" max="3354" width="7.85546875" style="9" customWidth="1"/>
    <col min="3355" max="3355" width="8.5703125" style="9" customWidth="1"/>
    <col min="3356" max="3356" width="7.85546875" style="9" customWidth="1"/>
    <col min="3357" max="3357" width="8.7109375" style="9" customWidth="1"/>
    <col min="3358" max="3590" width="9.140625" style="9"/>
    <col min="3591" max="3591" width="5.42578125" style="9" customWidth="1"/>
    <col min="3592" max="3592" width="45.140625" style="9" customWidth="1"/>
    <col min="3593" max="3594" width="12" style="9" customWidth="1"/>
    <col min="3595" max="3595" width="16.140625" style="9" customWidth="1"/>
    <col min="3596" max="3596" width="7.7109375" style="9" customWidth="1"/>
    <col min="3597" max="3597" width="12" style="9" customWidth="1"/>
    <col min="3598" max="3599" width="9" style="9" customWidth="1"/>
    <col min="3600" max="3600" width="11.28515625" style="9" customWidth="1"/>
    <col min="3601" max="3602" width="12" style="9" customWidth="1"/>
    <col min="3603" max="3603" width="17.140625" style="9" customWidth="1"/>
    <col min="3604" max="3604" width="9" style="9" customWidth="1"/>
    <col min="3605" max="3605" width="12" style="9" customWidth="1"/>
    <col min="3606" max="3607" width="9" style="9" customWidth="1"/>
    <col min="3608" max="3608" width="9.85546875" style="9" customWidth="1"/>
    <col min="3609" max="3609" width="10.140625" style="9" customWidth="1"/>
    <col min="3610" max="3610" width="7.85546875" style="9" customWidth="1"/>
    <col min="3611" max="3611" width="8.5703125" style="9" customWidth="1"/>
    <col min="3612" max="3612" width="7.85546875" style="9" customWidth="1"/>
    <col min="3613" max="3613" width="8.7109375" style="9" customWidth="1"/>
    <col min="3614" max="3846" width="9.140625" style="9"/>
    <col min="3847" max="3847" width="5.42578125" style="9" customWidth="1"/>
    <col min="3848" max="3848" width="45.140625" style="9" customWidth="1"/>
    <col min="3849" max="3850" width="12" style="9" customWidth="1"/>
    <col min="3851" max="3851" width="16.140625" style="9" customWidth="1"/>
    <col min="3852" max="3852" width="7.7109375" style="9" customWidth="1"/>
    <col min="3853" max="3853" width="12" style="9" customWidth="1"/>
    <col min="3854" max="3855" width="9" style="9" customWidth="1"/>
    <col min="3856" max="3856" width="11.28515625" style="9" customWidth="1"/>
    <col min="3857" max="3858" width="12" style="9" customWidth="1"/>
    <col min="3859" max="3859" width="17.140625" style="9" customWidth="1"/>
    <col min="3860" max="3860" width="9" style="9" customWidth="1"/>
    <col min="3861" max="3861" width="12" style="9" customWidth="1"/>
    <col min="3862" max="3863" width="9" style="9" customWidth="1"/>
    <col min="3864" max="3864" width="9.85546875" style="9" customWidth="1"/>
    <col min="3865" max="3865" width="10.140625" style="9" customWidth="1"/>
    <col min="3866" max="3866" width="7.85546875" style="9" customWidth="1"/>
    <col min="3867" max="3867" width="8.5703125" style="9" customWidth="1"/>
    <col min="3868" max="3868" width="7.85546875" style="9" customWidth="1"/>
    <col min="3869" max="3869" width="8.7109375" style="9" customWidth="1"/>
    <col min="3870" max="4102" width="9.140625" style="9"/>
    <col min="4103" max="4103" width="5.42578125" style="9" customWidth="1"/>
    <col min="4104" max="4104" width="45.140625" style="9" customWidth="1"/>
    <col min="4105" max="4106" width="12" style="9" customWidth="1"/>
    <col min="4107" max="4107" width="16.140625" style="9" customWidth="1"/>
    <col min="4108" max="4108" width="7.7109375" style="9" customWidth="1"/>
    <col min="4109" max="4109" width="12" style="9" customWidth="1"/>
    <col min="4110" max="4111" width="9" style="9" customWidth="1"/>
    <col min="4112" max="4112" width="11.28515625" style="9" customWidth="1"/>
    <col min="4113" max="4114" width="12" style="9" customWidth="1"/>
    <col min="4115" max="4115" width="17.140625" style="9" customWidth="1"/>
    <col min="4116" max="4116" width="9" style="9" customWidth="1"/>
    <col min="4117" max="4117" width="12" style="9" customWidth="1"/>
    <col min="4118" max="4119" width="9" style="9" customWidth="1"/>
    <col min="4120" max="4120" width="9.85546875" style="9" customWidth="1"/>
    <col min="4121" max="4121" width="10.140625" style="9" customWidth="1"/>
    <col min="4122" max="4122" width="7.85546875" style="9" customWidth="1"/>
    <col min="4123" max="4123" width="8.5703125" style="9" customWidth="1"/>
    <col min="4124" max="4124" width="7.85546875" style="9" customWidth="1"/>
    <col min="4125" max="4125" width="8.7109375" style="9" customWidth="1"/>
    <col min="4126" max="4358" width="9.140625" style="9"/>
    <col min="4359" max="4359" width="5.42578125" style="9" customWidth="1"/>
    <col min="4360" max="4360" width="45.140625" style="9" customWidth="1"/>
    <col min="4361" max="4362" width="12" style="9" customWidth="1"/>
    <col min="4363" max="4363" width="16.140625" style="9" customWidth="1"/>
    <col min="4364" max="4364" width="7.7109375" style="9" customWidth="1"/>
    <col min="4365" max="4365" width="12" style="9" customWidth="1"/>
    <col min="4366" max="4367" width="9" style="9" customWidth="1"/>
    <col min="4368" max="4368" width="11.28515625" style="9" customWidth="1"/>
    <col min="4369" max="4370" width="12" style="9" customWidth="1"/>
    <col min="4371" max="4371" width="17.140625" style="9" customWidth="1"/>
    <col min="4372" max="4372" width="9" style="9" customWidth="1"/>
    <col min="4373" max="4373" width="12" style="9" customWidth="1"/>
    <col min="4374" max="4375" width="9" style="9" customWidth="1"/>
    <col min="4376" max="4376" width="9.85546875" style="9" customWidth="1"/>
    <col min="4377" max="4377" width="10.140625" style="9" customWidth="1"/>
    <col min="4378" max="4378" width="7.85546875" style="9" customWidth="1"/>
    <col min="4379" max="4379" width="8.5703125" style="9" customWidth="1"/>
    <col min="4380" max="4380" width="7.85546875" style="9" customWidth="1"/>
    <col min="4381" max="4381" width="8.7109375" style="9" customWidth="1"/>
    <col min="4382" max="4614" width="9.140625" style="9"/>
    <col min="4615" max="4615" width="5.42578125" style="9" customWidth="1"/>
    <col min="4616" max="4616" width="45.140625" style="9" customWidth="1"/>
    <col min="4617" max="4618" width="12" style="9" customWidth="1"/>
    <col min="4619" max="4619" width="16.140625" style="9" customWidth="1"/>
    <col min="4620" max="4620" width="7.7109375" style="9" customWidth="1"/>
    <col min="4621" max="4621" width="12" style="9" customWidth="1"/>
    <col min="4622" max="4623" width="9" style="9" customWidth="1"/>
    <col min="4624" max="4624" width="11.28515625" style="9" customWidth="1"/>
    <col min="4625" max="4626" width="12" style="9" customWidth="1"/>
    <col min="4627" max="4627" width="17.140625" style="9" customWidth="1"/>
    <col min="4628" max="4628" width="9" style="9" customWidth="1"/>
    <col min="4629" max="4629" width="12" style="9" customWidth="1"/>
    <col min="4630" max="4631" width="9" style="9" customWidth="1"/>
    <col min="4632" max="4632" width="9.85546875" style="9" customWidth="1"/>
    <col min="4633" max="4633" width="10.140625" style="9" customWidth="1"/>
    <col min="4634" max="4634" width="7.85546875" style="9" customWidth="1"/>
    <col min="4635" max="4635" width="8.5703125" style="9" customWidth="1"/>
    <col min="4636" max="4636" width="7.85546875" style="9" customWidth="1"/>
    <col min="4637" max="4637" width="8.7109375" style="9" customWidth="1"/>
    <col min="4638" max="4870" width="9.140625" style="9"/>
    <col min="4871" max="4871" width="5.42578125" style="9" customWidth="1"/>
    <col min="4872" max="4872" width="45.140625" style="9" customWidth="1"/>
    <col min="4873" max="4874" width="12" style="9" customWidth="1"/>
    <col min="4875" max="4875" width="16.140625" style="9" customWidth="1"/>
    <col min="4876" max="4876" width="7.7109375" style="9" customWidth="1"/>
    <col min="4877" max="4877" width="12" style="9" customWidth="1"/>
    <col min="4878" max="4879" width="9" style="9" customWidth="1"/>
    <col min="4880" max="4880" width="11.28515625" style="9" customWidth="1"/>
    <col min="4881" max="4882" width="12" style="9" customWidth="1"/>
    <col min="4883" max="4883" width="17.140625" style="9" customWidth="1"/>
    <col min="4884" max="4884" width="9" style="9" customWidth="1"/>
    <col min="4885" max="4885" width="12" style="9" customWidth="1"/>
    <col min="4886" max="4887" width="9" style="9" customWidth="1"/>
    <col min="4888" max="4888" width="9.85546875" style="9" customWidth="1"/>
    <col min="4889" max="4889" width="10.140625" style="9" customWidth="1"/>
    <col min="4890" max="4890" width="7.85546875" style="9" customWidth="1"/>
    <col min="4891" max="4891" width="8.5703125" style="9" customWidth="1"/>
    <col min="4892" max="4892" width="7.85546875" style="9" customWidth="1"/>
    <col min="4893" max="4893" width="8.7109375" style="9" customWidth="1"/>
    <col min="4894" max="5126" width="9.140625" style="9"/>
    <col min="5127" max="5127" width="5.42578125" style="9" customWidth="1"/>
    <col min="5128" max="5128" width="45.140625" style="9" customWidth="1"/>
    <col min="5129" max="5130" width="12" style="9" customWidth="1"/>
    <col min="5131" max="5131" width="16.140625" style="9" customWidth="1"/>
    <col min="5132" max="5132" width="7.7109375" style="9" customWidth="1"/>
    <col min="5133" max="5133" width="12" style="9" customWidth="1"/>
    <col min="5134" max="5135" width="9" style="9" customWidth="1"/>
    <col min="5136" max="5136" width="11.28515625" style="9" customWidth="1"/>
    <col min="5137" max="5138" width="12" style="9" customWidth="1"/>
    <col min="5139" max="5139" width="17.140625" style="9" customWidth="1"/>
    <col min="5140" max="5140" width="9" style="9" customWidth="1"/>
    <col min="5141" max="5141" width="12" style="9" customWidth="1"/>
    <col min="5142" max="5143" width="9" style="9" customWidth="1"/>
    <col min="5144" max="5144" width="9.85546875" style="9" customWidth="1"/>
    <col min="5145" max="5145" width="10.140625" style="9" customWidth="1"/>
    <col min="5146" max="5146" width="7.85546875" style="9" customWidth="1"/>
    <col min="5147" max="5147" width="8.5703125" style="9" customWidth="1"/>
    <col min="5148" max="5148" width="7.85546875" style="9" customWidth="1"/>
    <col min="5149" max="5149" width="8.7109375" style="9" customWidth="1"/>
    <col min="5150" max="5382" width="9.140625" style="9"/>
    <col min="5383" max="5383" width="5.42578125" style="9" customWidth="1"/>
    <col min="5384" max="5384" width="45.140625" style="9" customWidth="1"/>
    <col min="5385" max="5386" width="12" style="9" customWidth="1"/>
    <col min="5387" max="5387" width="16.140625" style="9" customWidth="1"/>
    <col min="5388" max="5388" width="7.7109375" style="9" customWidth="1"/>
    <col min="5389" max="5389" width="12" style="9" customWidth="1"/>
    <col min="5390" max="5391" width="9" style="9" customWidth="1"/>
    <col min="5392" max="5392" width="11.28515625" style="9" customWidth="1"/>
    <col min="5393" max="5394" width="12" style="9" customWidth="1"/>
    <col min="5395" max="5395" width="17.140625" style="9" customWidth="1"/>
    <col min="5396" max="5396" width="9" style="9" customWidth="1"/>
    <col min="5397" max="5397" width="12" style="9" customWidth="1"/>
    <col min="5398" max="5399" width="9" style="9" customWidth="1"/>
    <col min="5400" max="5400" width="9.85546875" style="9" customWidth="1"/>
    <col min="5401" max="5401" width="10.140625" style="9" customWidth="1"/>
    <col min="5402" max="5402" width="7.85546875" style="9" customWidth="1"/>
    <col min="5403" max="5403" width="8.5703125" style="9" customWidth="1"/>
    <col min="5404" max="5404" width="7.85546875" style="9" customWidth="1"/>
    <col min="5405" max="5405" width="8.7109375" style="9" customWidth="1"/>
    <col min="5406" max="5638" width="9.140625" style="9"/>
    <col min="5639" max="5639" width="5.42578125" style="9" customWidth="1"/>
    <col min="5640" max="5640" width="45.140625" style="9" customWidth="1"/>
    <col min="5641" max="5642" width="12" style="9" customWidth="1"/>
    <col min="5643" max="5643" width="16.140625" style="9" customWidth="1"/>
    <col min="5644" max="5644" width="7.7109375" style="9" customWidth="1"/>
    <col min="5645" max="5645" width="12" style="9" customWidth="1"/>
    <col min="5646" max="5647" width="9" style="9" customWidth="1"/>
    <col min="5648" max="5648" width="11.28515625" style="9" customWidth="1"/>
    <col min="5649" max="5650" width="12" style="9" customWidth="1"/>
    <col min="5651" max="5651" width="17.140625" style="9" customWidth="1"/>
    <col min="5652" max="5652" width="9" style="9" customWidth="1"/>
    <col min="5653" max="5653" width="12" style="9" customWidth="1"/>
    <col min="5654" max="5655" width="9" style="9" customWidth="1"/>
    <col min="5656" max="5656" width="9.85546875" style="9" customWidth="1"/>
    <col min="5657" max="5657" width="10.140625" style="9" customWidth="1"/>
    <col min="5658" max="5658" width="7.85546875" style="9" customWidth="1"/>
    <col min="5659" max="5659" width="8.5703125" style="9" customWidth="1"/>
    <col min="5660" max="5660" width="7.85546875" style="9" customWidth="1"/>
    <col min="5661" max="5661" width="8.7109375" style="9" customWidth="1"/>
    <col min="5662" max="5894" width="9.140625" style="9"/>
    <col min="5895" max="5895" width="5.42578125" style="9" customWidth="1"/>
    <col min="5896" max="5896" width="45.140625" style="9" customWidth="1"/>
    <col min="5897" max="5898" width="12" style="9" customWidth="1"/>
    <col min="5899" max="5899" width="16.140625" style="9" customWidth="1"/>
    <col min="5900" max="5900" width="7.7109375" style="9" customWidth="1"/>
    <col min="5901" max="5901" width="12" style="9" customWidth="1"/>
    <col min="5902" max="5903" width="9" style="9" customWidth="1"/>
    <col min="5904" max="5904" width="11.28515625" style="9" customWidth="1"/>
    <col min="5905" max="5906" width="12" style="9" customWidth="1"/>
    <col min="5907" max="5907" width="17.140625" style="9" customWidth="1"/>
    <col min="5908" max="5908" width="9" style="9" customWidth="1"/>
    <col min="5909" max="5909" width="12" style="9" customWidth="1"/>
    <col min="5910" max="5911" width="9" style="9" customWidth="1"/>
    <col min="5912" max="5912" width="9.85546875" style="9" customWidth="1"/>
    <col min="5913" max="5913" width="10.140625" style="9" customWidth="1"/>
    <col min="5914" max="5914" width="7.85546875" style="9" customWidth="1"/>
    <col min="5915" max="5915" width="8.5703125" style="9" customWidth="1"/>
    <col min="5916" max="5916" width="7.85546875" style="9" customWidth="1"/>
    <col min="5917" max="5917" width="8.7109375" style="9" customWidth="1"/>
    <col min="5918" max="6150" width="9.140625" style="9"/>
    <col min="6151" max="6151" width="5.42578125" style="9" customWidth="1"/>
    <col min="6152" max="6152" width="45.140625" style="9" customWidth="1"/>
    <col min="6153" max="6154" width="12" style="9" customWidth="1"/>
    <col min="6155" max="6155" width="16.140625" style="9" customWidth="1"/>
    <col min="6156" max="6156" width="7.7109375" style="9" customWidth="1"/>
    <col min="6157" max="6157" width="12" style="9" customWidth="1"/>
    <col min="6158" max="6159" width="9" style="9" customWidth="1"/>
    <col min="6160" max="6160" width="11.28515625" style="9" customWidth="1"/>
    <col min="6161" max="6162" width="12" style="9" customWidth="1"/>
    <col min="6163" max="6163" width="17.140625" style="9" customWidth="1"/>
    <col min="6164" max="6164" width="9" style="9" customWidth="1"/>
    <col min="6165" max="6165" width="12" style="9" customWidth="1"/>
    <col min="6166" max="6167" width="9" style="9" customWidth="1"/>
    <col min="6168" max="6168" width="9.85546875" style="9" customWidth="1"/>
    <col min="6169" max="6169" width="10.140625" style="9" customWidth="1"/>
    <col min="6170" max="6170" width="7.85546875" style="9" customWidth="1"/>
    <col min="6171" max="6171" width="8.5703125" style="9" customWidth="1"/>
    <col min="6172" max="6172" width="7.85546875" style="9" customWidth="1"/>
    <col min="6173" max="6173" width="8.7109375" style="9" customWidth="1"/>
    <col min="6174" max="6406" width="9.140625" style="9"/>
    <col min="6407" max="6407" width="5.42578125" style="9" customWidth="1"/>
    <col min="6408" max="6408" width="45.140625" style="9" customWidth="1"/>
    <col min="6409" max="6410" width="12" style="9" customWidth="1"/>
    <col min="6411" max="6411" width="16.140625" style="9" customWidth="1"/>
    <col min="6412" max="6412" width="7.7109375" style="9" customWidth="1"/>
    <col min="6413" max="6413" width="12" style="9" customWidth="1"/>
    <col min="6414" max="6415" width="9" style="9" customWidth="1"/>
    <col min="6416" max="6416" width="11.28515625" style="9" customWidth="1"/>
    <col min="6417" max="6418" width="12" style="9" customWidth="1"/>
    <col min="6419" max="6419" width="17.140625" style="9" customWidth="1"/>
    <col min="6420" max="6420" width="9" style="9" customWidth="1"/>
    <col min="6421" max="6421" width="12" style="9" customWidth="1"/>
    <col min="6422" max="6423" width="9" style="9" customWidth="1"/>
    <col min="6424" max="6424" width="9.85546875" style="9" customWidth="1"/>
    <col min="6425" max="6425" width="10.140625" style="9" customWidth="1"/>
    <col min="6426" max="6426" width="7.85546875" style="9" customWidth="1"/>
    <col min="6427" max="6427" width="8.5703125" style="9" customWidth="1"/>
    <col min="6428" max="6428" width="7.85546875" style="9" customWidth="1"/>
    <col min="6429" max="6429" width="8.7109375" style="9" customWidth="1"/>
    <col min="6430" max="6662" width="9.140625" style="9"/>
    <col min="6663" max="6663" width="5.42578125" style="9" customWidth="1"/>
    <col min="6664" max="6664" width="45.140625" style="9" customWidth="1"/>
    <col min="6665" max="6666" width="12" style="9" customWidth="1"/>
    <col min="6667" max="6667" width="16.140625" style="9" customWidth="1"/>
    <col min="6668" max="6668" width="7.7109375" style="9" customWidth="1"/>
    <col min="6669" max="6669" width="12" style="9" customWidth="1"/>
    <col min="6670" max="6671" width="9" style="9" customWidth="1"/>
    <col min="6672" max="6672" width="11.28515625" style="9" customWidth="1"/>
    <col min="6673" max="6674" width="12" style="9" customWidth="1"/>
    <col min="6675" max="6675" width="17.140625" style="9" customWidth="1"/>
    <col min="6676" max="6676" width="9" style="9" customWidth="1"/>
    <col min="6677" max="6677" width="12" style="9" customWidth="1"/>
    <col min="6678" max="6679" width="9" style="9" customWidth="1"/>
    <col min="6680" max="6680" width="9.85546875" style="9" customWidth="1"/>
    <col min="6681" max="6681" width="10.140625" style="9" customWidth="1"/>
    <col min="6682" max="6682" width="7.85546875" style="9" customWidth="1"/>
    <col min="6683" max="6683" width="8.5703125" style="9" customWidth="1"/>
    <col min="6684" max="6684" width="7.85546875" style="9" customWidth="1"/>
    <col min="6685" max="6685" width="8.7109375" style="9" customWidth="1"/>
    <col min="6686" max="6918" width="9.140625" style="9"/>
    <col min="6919" max="6919" width="5.42578125" style="9" customWidth="1"/>
    <col min="6920" max="6920" width="45.140625" style="9" customWidth="1"/>
    <col min="6921" max="6922" width="12" style="9" customWidth="1"/>
    <col min="6923" max="6923" width="16.140625" style="9" customWidth="1"/>
    <col min="6924" max="6924" width="7.7109375" style="9" customWidth="1"/>
    <col min="6925" max="6925" width="12" style="9" customWidth="1"/>
    <col min="6926" max="6927" width="9" style="9" customWidth="1"/>
    <col min="6928" max="6928" width="11.28515625" style="9" customWidth="1"/>
    <col min="6929" max="6930" width="12" style="9" customWidth="1"/>
    <col min="6931" max="6931" width="17.140625" style="9" customWidth="1"/>
    <col min="6932" max="6932" width="9" style="9" customWidth="1"/>
    <col min="6933" max="6933" width="12" style="9" customWidth="1"/>
    <col min="6934" max="6935" width="9" style="9" customWidth="1"/>
    <col min="6936" max="6936" width="9.85546875" style="9" customWidth="1"/>
    <col min="6937" max="6937" width="10.140625" style="9" customWidth="1"/>
    <col min="6938" max="6938" width="7.85546875" style="9" customWidth="1"/>
    <col min="6939" max="6939" width="8.5703125" style="9" customWidth="1"/>
    <col min="6940" max="6940" width="7.85546875" style="9" customWidth="1"/>
    <col min="6941" max="6941" width="8.7109375" style="9" customWidth="1"/>
    <col min="6942" max="7174" width="9.140625" style="9"/>
    <col min="7175" max="7175" width="5.42578125" style="9" customWidth="1"/>
    <col min="7176" max="7176" width="45.140625" style="9" customWidth="1"/>
    <col min="7177" max="7178" width="12" style="9" customWidth="1"/>
    <col min="7179" max="7179" width="16.140625" style="9" customWidth="1"/>
    <col min="7180" max="7180" width="7.7109375" style="9" customWidth="1"/>
    <col min="7181" max="7181" width="12" style="9" customWidth="1"/>
    <col min="7182" max="7183" width="9" style="9" customWidth="1"/>
    <col min="7184" max="7184" width="11.28515625" style="9" customWidth="1"/>
    <col min="7185" max="7186" width="12" style="9" customWidth="1"/>
    <col min="7187" max="7187" width="17.140625" style="9" customWidth="1"/>
    <col min="7188" max="7188" width="9" style="9" customWidth="1"/>
    <col min="7189" max="7189" width="12" style="9" customWidth="1"/>
    <col min="7190" max="7191" width="9" style="9" customWidth="1"/>
    <col min="7192" max="7192" width="9.85546875" style="9" customWidth="1"/>
    <col min="7193" max="7193" width="10.140625" style="9" customWidth="1"/>
    <col min="7194" max="7194" width="7.85546875" style="9" customWidth="1"/>
    <col min="7195" max="7195" width="8.5703125" style="9" customWidth="1"/>
    <col min="7196" max="7196" width="7.85546875" style="9" customWidth="1"/>
    <col min="7197" max="7197" width="8.7109375" style="9" customWidth="1"/>
    <col min="7198" max="7430" width="9.140625" style="9"/>
    <col min="7431" max="7431" width="5.42578125" style="9" customWidth="1"/>
    <col min="7432" max="7432" width="45.140625" style="9" customWidth="1"/>
    <col min="7433" max="7434" width="12" style="9" customWidth="1"/>
    <col min="7435" max="7435" width="16.140625" style="9" customWidth="1"/>
    <col min="7436" max="7436" width="7.7109375" style="9" customWidth="1"/>
    <col min="7437" max="7437" width="12" style="9" customWidth="1"/>
    <col min="7438" max="7439" width="9" style="9" customWidth="1"/>
    <col min="7440" max="7440" width="11.28515625" style="9" customWidth="1"/>
    <col min="7441" max="7442" width="12" style="9" customWidth="1"/>
    <col min="7443" max="7443" width="17.140625" style="9" customWidth="1"/>
    <col min="7444" max="7444" width="9" style="9" customWidth="1"/>
    <col min="7445" max="7445" width="12" style="9" customWidth="1"/>
    <col min="7446" max="7447" width="9" style="9" customWidth="1"/>
    <col min="7448" max="7448" width="9.85546875" style="9" customWidth="1"/>
    <col min="7449" max="7449" width="10.140625" style="9" customWidth="1"/>
    <col min="7450" max="7450" width="7.85546875" style="9" customWidth="1"/>
    <col min="7451" max="7451" width="8.5703125" style="9" customWidth="1"/>
    <col min="7452" max="7452" width="7.85546875" style="9" customWidth="1"/>
    <col min="7453" max="7453" width="8.7109375" style="9" customWidth="1"/>
    <col min="7454" max="7686" width="9.140625" style="9"/>
    <col min="7687" max="7687" width="5.42578125" style="9" customWidth="1"/>
    <col min="7688" max="7688" width="45.140625" style="9" customWidth="1"/>
    <col min="7689" max="7690" width="12" style="9" customWidth="1"/>
    <col min="7691" max="7691" width="16.140625" style="9" customWidth="1"/>
    <col min="7692" max="7692" width="7.7109375" style="9" customWidth="1"/>
    <col min="7693" max="7693" width="12" style="9" customWidth="1"/>
    <col min="7694" max="7695" width="9" style="9" customWidth="1"/>
    <col min="7696" max="7696" width="11.28515625" style="9" customWidth="1"/>
    <col min="7697" max="7698" width="12" style="9" customWidth="1"/>
    <col min="7699" max="7699" width="17.140625" style="9" customWidth="1"/>
    <col min="7700" max="7700" width="9" style="9" customWidth="1"/>
    <col min="7701" max="7701" width="12" style="9" customWidth="1"/>
    <col min="7702" max="7703" width="9" style="9" customWidth="1"/>
    <col min="7704" max="7704" width="9.85546875" style="9" customWidth="1"/>
    <col min="7705" max="7705" width="10.140625" style="9" customWidth="1"/>
    <col min="7706" max="7706" width="7.85546875" style="9" customWidth="1"/>
    <col min="7707" max="7707" width="8.5703125" style="9" customWidth="1"/>
    <col min="7708" max="7708" width="7.85546875" style="9" customWidth="1"/>
    <col min="7709" max="7709" width="8.7109375" style="9" customWidth="1"/>
    <col min="7710" max="7942" width="9.140625" style="9"/>
    <col min="7943" max="7943" width="5.42578125" style="9" customWidth="1"/>
    <col min="7944" max="7944" width="45.140625" style="9" customWidth="1"/>
    <col min="7945" max="7946" width="12" style="9" customWidth="1"/>
    <col min="7947" max="7947" width="16.140625" style="9" customWidth="1"/>
    <col min="7948" max="7948" width="7.7109375" style="9" customWidth="1"/>
    <col min="7949" max="7949" width="12" style="9" customWidth="1"/>
    <col min="7950" max="7951" width="9" style="9" customWidth="1"/>
    <col min="7952" max="7952" width="11.28515625" style="9" customWidth="1"/>
    <col min="7953" max="7954" width="12" style="9" customWidth="1"/>
    <col min="7955" max="7955" width="17.140625" style="9" customWidth="1"/>
    <col min="7956" max="7956" width="9" style="9" customWidth="1"/>
    <col min="7957" max="7957" width="12" style="9" customWidth="1"/>
    <col min="7958" max="7959" width="9" style="9" customWidth="1"/>
    <col min="7960" max="7960" width="9.85546875" style="9" customWidth="1"/>
    <col min="7961" max="7961" width="10.140625" style="9" customWidth="1"/>
    <col min="7962" max="7962" width="7.85546875" style="9" customWidth="1"/>
    <col min="7963" max="7963" width="8.5703125" style="9" customWidth="1"/>
    <col min="7964" max="7964" width="7.85546875" style="9" customWidth="1"/>
    <col min="7965" max="7965" width="8.7109375" style="9" customWidth="1"/>
    <col min="7966" max="8198" width="9.140625" style="9"/>
    <col min="8199" max="8199" width="5.42578125" style="9" customWidth="1"/>
    <col min="8200" max="8200" width="45.140625" style="9" customWidth="1"/>
    <col min="8201" max="8202" width="12" style="9" customWidth="1"/>
    <col min="8203" max="8203" width="16.140625" style="9" customWidth="1"/>
    <col min="8204" max="8204" width="7.7109375" style="9" customWidth="1"/>
    <col min="8205" max="8205" width="12" style="9" customWidth="1"/>
    <col min="8206" max="8207" width="9" style="9" customWidth="1"/>
    <col min="8208" max="8208" width="11.28515625" style="9" customWidth="1"/>
    <col min="8209" max="8210" width="12" style="9" customWidth="1"/>
    <col min="8211" max="8211" width="17.140625" style="9" customWidth="1"/>
    <col min="8212" max="8212" width="9" style="9" customWidth="1"/>
    <col min="8213" max="8213" width="12" style="9" customWidth="1"/>
    <col min="8214" max="8215" width="9" style="9" customWidth="1"/>
    <col min="8216" max="8216" width="9.85546875" style="9" customWidth="1"/>
    <col min="8217" max="8217" width="10.140625" style="9" customWidth="1"/>
    <col min="8218" max="8218" width="7.85546875" style="9" customWidth="1"/>
    <col min="8219" max="8219" width="8.5703125" style="9" customWidth="1"/>
    <col min="8220" max="8220" width="7.85546875" style="9" customWidth="1"/>
    <col min="8221" max="8221" width="8.7109375" style="9" customWidth="1"/>
    <col min="8222" max="8454" width="9.140625" style="9"/>
    <col min="8455" max="8455" width="5.42578125" style="9" customWidth="1"/>
    <col min="8456" max="8456" width="45.140625" style="9" customWidth="1"/>
    <col min="8457" max="8458" width="12" style="9" customWidth="1"/>
    <col min="8459" max="8459" width="16.140625" style="9" customWidth="1"/>
    <col min="8460" max="8460" width="7.7109375" style="9" customWidth="1"/>
    <col min="8461" max="8461" width="12" style="9" customWidth="1"/>
    <col min="8462" max="8463" width="9" style="9" customWidth="1"/>
    <col min="8464" max="8464" width="11.28515625" style="9" customWidth="1"/>
    <col min="8465" max="8466" width="12" style="9" customWidth="1"/>
    <col min="8467" max="8467" width="17.140625" style="9" customWidth="1"/>
    <col min="8468" max="8468" width="9" style="9" customWidth="1"/>
    <col min="8469" max="8469" width="12" style="9" customWidth="1"/>
    <col min="8470" max="8471" width="9" style="9" customWidth="1"/>
    <col min="8472" max="8472" width="9.85546875" style="9" customWidth="1"/>
    <col min="8473" max="8473" width="10.140625" style="9" customWidth="1"/>
    <col min="8474" max="8474" width="7.85546875" style="9" customWidth="1"/>
    <col min="8475" max="8475" width="8.5703125" style="9" customWidth="1"/>
    <col min="8476" max="8476" width="7.85546875" style="9" customWidth="1"/>
    <col min="8477" max="8477" width="8.7109375" style="9" customWidth="1"/>
    <col min="8478" max="8710" width="9.140625" style="9"/>
    <col min="8711" max="8711" width="5.42578125" style="9" customWidth="1"/>
    <col min="8712" max="8712" width="45.140625" style="9" customWidth="1"/>
    <col min="8713" max="8714" width="12" style="9" customWidth="1"/>
    <col min="8715" max="8715" width="16.140625" style="9" customWidth="1"/>
    <col min="8716" max="8716" width="7.7109375" style="9" customWidth="1"/>
    <col min="8717" max="8717" width="12" style="9" customWidth="1"/>
    <col min="8718" max="8719" width="9" style="9" customWidth="1"/>
    <col min="8720" max="8720" width="11.28515625" style="9" customWidth="1"/>
    <col min="8721" max="8722" width="12" style="9" customWidth="1"/>
    <col min="8723" max="8723" width="17.140625" style="9" customWidth="1"/>
    <col min="8724" max="8724" width="9" style="9" customWidth="1"/>
    <col min="8725" max="8725" width="12" style="9" customWidth="1"/>
    <col min="8726" max="8727" width="9" style="9" customWidth="1"/>
    <col min="8728" max="8728" width="9.85546875" style="9" customWidth="1"/>
    <col min="8729" max="8729" width="10.140625" style="9" customWidth="1"/>
    <col min="8730" max="8730" width="7.85546875" style="9" customWidth="1"/>
    <col min="8731" max="8731" width="8.5703125" style="9" customWidth="1"/>
    <col min="8732" max="8732" width="7.85546875" style="9" customWidth="1"/>
    <col min="8733" max="8733" width="8.7109375" style="9" customWidth="1"/>
    <col min="8734" max="8966" width="9.140625" style="9"/>
    <col min="8967" max="8967" width="5.42578125" style="9" customWidth="1"/>
    <col min="8968" max="8968" width="45.140625" style="9" customWidth="1"/>
    <col min="8969" max="8970" width="12" style="9" customWidth="1"/>
    <col min="8971" max="8971" width="16.140625" style="9" customWidth="1"/>
    <col min="8972" max="8972" width="7.7109375" style="9" customWidth="1"/>
    <col min="8973" max="8973" width="12" style="9" customWidth="1"/>
    <col min="8974" max="8975" width="9" style="9" customWidth="1"/>
    <col min="8976" max="8976" width="11.28515625" style="9" customWidth="1"/>
    <col min="8977" max="8978" width="12" style="9" customWidth="1"/>
    <col min="8979" max="8979" width="17.140625" style="9" customWidth="1"/>
    <col min="8980" max="8980" width="9" style="9" customWidth="1"/>
    <col min="8981" max="8981" width="12" style="9" customWidth="1"/>
    <col min="8982" max="8983" width="9" style="9" customWidth="1"/>
    <col min="8984" max="8984" width="9.85546875" style="9" customWidth="1"/>
    <col min="8985" max="8985" width="10.140625" style="9" customWidth="1"/>
    <col min="8986" max="8986" width="7.85546875" style="9" customWidth="1"/>
    <col min="8987" max="8987" width="8.5703125" style="9" customWidth="1"/>
    <col min="8988" max="8988" width="7.85546875" style="9" customWidth="1"/>
    <col min="8989" max="8989" width="8.7109375" style="9" customWidth="1"/>
    <col min="8990" max="9222" width="9.140625" style="9"/>
    <col min="9223" max="9223" width="5.42578125" style="9" customWidth="1"/>
    <col min="9224" max="9224" width="45.140625" style="9" customWidth="1"/>
    <col min="9225" max="9226" width="12" style="9" customWidth="1"/>
    <col min="9227" max="9227" width="16.140625" style="9" customWidth="1"/>
    <col min="9228" max="9228" width="7.7109375" style="9" customWidth="1"/>
    <col min="9229" max="9229" width="12" style="9" customWidth="1"/>
    <col min="9230" max="9231" width="9" style="9" customWidth="1"/>
    <col min="9232" max="9232" width="11.28515625" style="9" customWidth="1"/>
    <col min="9233" max="9234" width="12" style="9" customWidth="1"/>
    <col min="9235" max="9235" width="17.140625" style="9" customWidth="1"/>
    <col min="9236" max="9236" width="9" style="9" customWidth="1"/>
    <col min="9237" max="9237" width="12" style="9" customWidth="1"/>
    <col min="9238" max="9239" width="9" style="9" customWidth="1"/>
    <col min="9240" max="9240" width="9.85546875" style="9" customWidth="1"/>
    <col min="9241" max="9241" width="10.140625" style="9" customWidth="1"/>
    <col min="9242" max="9242" width="7.85546875" style="9" customWidth="1"/>
    <col min="9243" max="9243" width="8.5703125" style="9" customWidth="1"/>
    <col min="9244" max="9244" width="7.85546875" style="9" customWidth="1"/>
    <col min="9245" max="9245" width="8.7109375" style="9" customWidth="1"/>
    <col min="9246" max="9478" width="9.140625" style="9"/>
    <col min="9479" max="9479" width="5.42578125" style="9" customWidth="1"/>
    <col min="9480" max="9480" width="45.140625" style="9" customWidth="1"/>
    <col min="9481" max="9482" width="12" style="9" customWidth="1"/>
    <col min="9483" max="9483" width="16.140625" style="9" customWidth="1"/>
    <col min="9484" max="9484" width="7.7109375" style="9" customWidth="1"/>
    <col min="9485" max="9485" width="12" style="9" customWidth="1"/>
    <col min="9486" max="9487" width="9" style="9" customWidth="1"/>
    <col min="9488" max="9488" width="11.28515625" style="9" customWidth="1"/>
    <col min="9489" max="9490" width="12" style="9" customWidth="1"/>
    <col min="9491" max="9491" width="17.140625" style="9" customWidth="1"/>
    <col min="9492" max="9492" width="9" style="9" customWidth="1"/>
    <col min="9493" max="9493" width="12" style="9" customWidth="1"/>
    <col min="9494" max="9495" width="9" style="9" customWidth="1"/>
    <col min="9496" max="9496" width="9.85546875" style="9" customWidth="1"/>
    <col min="9497" max="9497" width="10.140625" style="9" customWidth="1"/>
    <col min="9498" max="9498" width="7.85546875" style="9" customWidth="1"/>
    <col min="9499" max="9499" width="8.5703125" style="9" customWidth="1"/>
    <col min="9500" max="9500" width="7.85546875" style="9" customWidth="1"/>
    <col min="9501" max="9501" width="8.7109375" style="9" customWidth="1"/>
    <col min="9502" max="9734" width="9.140625" style="9"/>
    <col min="9735" max="9735" width="5.42578125" style="9" customWidth="1"/>
    <col min="9736" max="9736" width="45.140625" style="9" customWidth="1"/>
    <col min="9737" max="9738" width="12" style="9" customWidth="1"/>
    <col min="9739" max="9739" width="16.140625" style="9" customWidth="1"/>
    <col min="9740" max="9740" width="7.7109375" style="9" customWidth="1"/>
    <col min="9741" max="9741" width="12" style="9" customWidth="1"/>
    <col min="9742" max="9743" width="9" style="9" customWidth="1"/>
    <col min="9744" max="9744" width="11.28515625" style="9" customWidth="1"/>
    <col min="9745" max="9746" width="12" style="9" customWidth="1"/>
    <col min="9747" max="9747" width="17.140625" style="9" customWidth="1"/>
    <col min="9748" max="9748" width="9" style="9" customWidth="1"/>
    <col min="9749" max="9749" width="12" style="9" customWidth="1"/>
    <col min="9750" max="9751" width="9" style="9" customWidth="1"/>
    <col min="9752" max="9752" width="9.85546875" style="9" customWidth="1"/>
    <col min="9753" max="9753" width="10.140625" style="9" customWidth="1"/>
    <col min="9754" max="9754" width="7.85546875" style="9" customWidth="1"/>
    <col min="9755" max="9755" width="8.5703125" style="9" customWidth="1"/>
    <col min="9756" max="9756" width="7.85546875" style="9" customWidth="1"/>
    <col min="9757" max="9757" width="8.7109375" style="9" customWidth="1"/>
    <col min="9758" max="9990" width="9.140625" style="9"/>
    <col min="9991" max="9991" width="5.42578125" style="9" customWidth="1"/>
    <col min="9992" max="9992" width="45.140625" style="9" customWidth="1"/>
    <col min="9993" max="9994" width="12" style="9" customWidth="1"/>
    <col min="9995" max="9995" width="16.140625" style="9" customWidth="1"/>
    <col min="9996" max="9996" width="7.7109375" style="9" customWidth="1"/>
    <col min="9997" max="9997" width="12" style="9" customWidth="1"/>
    <col min="9998" max="9999" width="9" style="9" customWidth="1"/>
    <col min="10000" max="10000" width="11.28515625" style="9" customWidth="1"/>
    <col min="10001" max="10002" width="12" style="9" customWidth="1"/>
    <col min="10003" max="10003" width="17.140625" style="9" customWidth="1"/>
    <col min="10004" max="10004" width="9" style="9" customWidth="1"/>
    <col min="10005" max="10005" width="12" style="9" customWidth="1"/>
    <col min="10006" max="10007" width="9" style="9" customWidth="1"/>
    <col min="10008" max="10008" width="9.85546875" style="9" customWidth="1"/>
    <col min="10009" max="10009" width="10.140625" style="9" customWidth="1"/>
    <col min="10010" max="10010" width="7.85546875" style="9" customWidth="1"/>
    <col min="10011" max="10011" width="8.5703125" style="9" customWidth="1"/>
    <col min="10012" max="10012" width="7.85546875" style="9" customWidth="1"/>
    <col min="10013" max="10013" width="8.7109375" style="9" customWidth="1"/>
    <col min="10014" max="10246" width="9.140625" style="9"/>
    <col min="10247" max="10247" width="5.42578125" style="9" customWidth="1"/>
    <col min="10248" max="10248" width="45.140625" style="9" customWidth="1"/>
    <col min="10249" max="10250" width="12" style="9" customWidth="1"/>
    <col min="10251" max="10251" width="16.140625" style="9" customWidth="1"/>
    <col min="10252" max="10252" width="7.7109375" style="9" customWidth="1"/>
    <col min="10253" max="10253" width="12" style="9" customWidth="1"/>
    <col min="10254" max="10255" width="9" style="9" customWidth="1"/>
    <col min="10256" max="10256" width="11.28515625" style="9" customWidth="1"/>
    <col min="10257" max="10258" width="12" style="9" customWidth="1"/>
    <col min="10259" max="10259" width="17.140625" style="9" customWidth="1"/>
    <col min="10260" max="10260" width="9" style="9" customWidth="1"/>
    <col min="10261" max="10261" width="12" style="9" customWidth="1"/>
    <col min="10262" max="10263" width="9" style="9" customWidth="1"/>
    <col min="10264" max="10264" width="9.85546875" style="9" customWidth="1"/>
    <col min="10265" max="10265" width="10.140625" style="9" customWidth="1"/>
    <col min="10266" max="10266" width="7.85546875" style="9" customWidth="1"/>
    <col min="10267" max="10267" width="8.5703125" style="9" customWidth="1"/>
    <col min="10268" max="10268" width="7.85546875" style="9" customWidth="1"/>
    <col min="10269" max="10269" width="8.7109375" style="9" customWidth="1"/>
    <col min="10270" max="10502" width="9.140625" style="9"/>
    <col min="10503" max="10503" width="5.42578125" style="9" customWidth="1"/>
    <col min="10504" max="10504" width="45.140625" style="9" customWidth="1"/>
    <col min="10505" max="10506" width="12" style="9" customWidth="1"/>
    <col min="10507" max="10507" width="16.140625" style="9" customWidth="1"/>
    <col min="10508" max="10508" width="7.7109375" style="9" customWidth="1"/>
    <col min="10509" max="10509" width="12" style="9" customWidth="1"/>
    <col min="10510" max="10511" width="9" style="9" customWidth="1"/>
    <col min="10512" max="10512" width="11.28515625" style="9" customWidth="1"/>
    <col min="10513" max="10514" width="12" style="9" customWidth="1"/>
    <col min="10515" max="10515" width="17.140625" style="9" customWidth="1"/>
    <col min="10516" max="10516" width="9" style="9" customWidth="1"/>
    <col min="10517" max="10517" width="12" style="9" customWidth="1"/>
    <col min="10518" max="10519" width="9" style="9" customWidth="1"/>
    <col min="10520" max="10520" width="9.85546875" style="9" customWidth="1"/>
    <col min="10521" max="10521" width="10.140625" style="9" customWidth="1"/>
    <col min="10522" max="10522" width="7.85546875" style="9" customWidth="1"/>
    <col min="10523" max="10523" width="8.5703125" style="9" customWidth="1"/>
    <col min="10524" max="10524" width="7.85546875" style="9" customWidth="1"/>
    <col min="10525" max="10525" width="8.7109375" style="9" customWidth="1"/>
    <col min="10526" max="10758" width="9.140625" style="9"/>
    <col min="10759" max="10759" width="5.42578125" style="9" customWidth="1"/>
    <col min="10760" max="10760" width="45.140625" style="9" customWidth="1"/>
    <col min="10761" max="10762" width="12" style="9" customWidth="1"/>
    <col min="10763" max="10763" width="16.140625" style="9" customWidth="1"/>
    <col min="10764" max="10764" width="7.7109375" style="9" customWidth="1"/>
    <col min="10765" max="10765" width="12" style="9" customWidth="1"/>
    <col min="10766" max="10767" width="9" style="9" customWidth="1"/>
    <col min="10768" max="10768" width="11.28515625" style="9" customWidth="1"/>
    <col min="10769" max="10770" width="12" style="9" customWidth="1"/>
    <col min="10771" max="10771" width="17.140625" style="9" customWidth="1"/>
    <col min="10772" max="10772" width="9" style="9" customWidth="1"/>
    <col min="10773" max="10773" width="12" style="9" customWidth="1"/>
    <col min="10774" max="10775" width="9" style="9" customWidth="1"/>
    <col min="10776" max="10776" width="9.85546875" style="9" customWidth="1"/>
    <col min="10777" max="10777" width="10.140625" style="9" customWidth="1"/>
    <col min="10778" max="10778" width="7.85546875" style="9" customWidth="1"/>
    <col min="10779" max="10779" width="8.5703125" style="9" customWidth="1"/>
    <col min="10780" max="10780" width="7.85546875" style="9" customWidth="1"/>
    <col min="10781" max="10781" width="8.7109375" style="9" customWidth="1"/>
    <col min="10782" max="11014" width="9.140625" style="9"/>
    <col min="11015" max="11015" width="5.42578125" style="9" customWidth="1"/>
    <col min="11016" max="11016" width="45.140625" style="9" customWidth="1"/>
    <col min="11017" max="11018" width="12" style="9" customWidth="1"/>
    <col min="11019" max="11019" width="16.140625" style="9" customWidth="1"/>
    <col min="11020" max="11020" width="7.7109375" style="9" customWidth="1"/>
    <col min="11021" max="11021" width="12" style="9" customWidth="1"/>
    <col min="11022" max="11023" width="9" style="9" customWidth="1"/>
    <col min="11024" max="11024" width="11.28515625" style="9" customWidth="1"/>
    <col min="11025" max="11026" width="12" style="9" customWidth="1"/>
    <col min="11027" max="11027" width="17.140625" style="9" customWidth="1"/>
    <col min="11028" max="11028" width="9" style="9" customWidth="1"/>
    <col min="11029" max="11029" width="12" style="9" customWidth="1"/>
    <col min="11030" max="11031" width="9" style="9" customWidth="1"/>
    <col min="11032" max="11032" width="9.85546875" style="9" customWidth="1"/>
    <col min="11033" max="11033" width="10.140625" style="9" customWidth="1"/>
    <col min="11034" max="11034" width="7.85546875" style="9" customWidth="1"/>
    <col min="11035" max="11035" width="8.5703125" style="9" customWidth="1"/>
    <col min="11036" max="11036" width="7.85546875" style="9" customWidth="1"/>
    <col min="11037" max="11037" width="8.7109375" style="9" customWidth="1"/>
    <col min="11038" max="11270" width="9.140625" style="9"/>
    <col min="11271" max="11271" width="5.42578125" style="9" customWidth="1"/>
    <col min="11272" max="11272" width="45.140625" style="9" customWidth="1"/>
    <col min="11273" max="11274" width="12" style="9" customWidth="1"/>
    <col min="11275" max="11275" width="16.140625" style="9" customWidth="1"/>
    <col min="11276" max="11276" width="7.7109375" style="9" customWidth="1"/>
    <col min="11277" max="11277" width="12" style="9" customWidth="1"/>
    <col min="11278" max="11279" width="9" style="9" customWidth="1"/>
    <col min="11280" max="11280" width="11.28515625" style="9" customWidth="1"/>
    <col min="11281" max="11282" width="12" style="9" customWidth="1"/>
    <col min="11283" max="11283" width="17.140625" style="9" customWidth="1"/>
    <col min="11284" max="11284" width="9" style="9" customWidth="1"/>
    <col min="11285" max="11285" width="12" style="9" customWidth="1"/>
    <col min="11286" max="11287" width="9" style="9" customWidth="1"/>
    <col min="11288" max="11288" width="9.85546875" style="9" customWidth="1"/>
    <col min="11289" max="11289" width="10.140625" style="9" customWidth="1"/>
    <col min="11290" max="11290" width="7.85546875" style="9" customWidth="1"/>
    <col min="11291" max="11291" width="8.5703125" style="9" customWidth="1"/>
    <col min="11292" max="11292" width="7.85546875" style="9" customWidth="1"/>
    <col min="11293" max="11293" width="8.7109375" style="9" customWidth="1"/>
    <col min="11294" max="11526" width="9.140625" style="9"/>
    <col min="11527" max="11527" width="5.42578125" style="9" customWidth="1"/>
    <col min="11528" max="11528" width="45.140625" style="9" customWidth="1"/>
    <col min="11529" max="11530" width="12" style="9" customWidth="1"/>
    <col min="11531" max="11531" width="16.140625" style="9" customWidth="1"/>
    <col min="11532" max="11532" width="7.7109375" style="9" customWidth="1"/>
    <col min="11533" max="11533" width="12" style="9" customWidth="1"/>
    <col min="11534" max="11535" width="9" style="9" customWidth="1"/>
    <col min="11536" max="11536" width="11.28515625" style="9" customWidth="1"/>
    <col min="11537" max="11538" width="12" style="9" customWidth="1"/>
    <col min="11539" max="11539" width="17.140625" style="9" customWidth="1"/>
    <col min="11540" max="11540" width="9" style="9" customWidth="1"/>
    <col min="11541" max="11541" width="12" style="9" customWidth="1"/>
    <col min="11542" max="11543" width="9" style="9" customWidth="1"/>
    <col min="11544" max="11544" width="9.85546875" style="9" customWidth="1"/>
    <col min="11545" max="11545" width="10.140625" style="9" customWidth="1"/>
    <col min="11546" max="11546" width="7.85546875" style="9" customWidth="1"/>
    <col min="11547" max="11547" width="8.5703125" style="9" customWidth="1"/>
    <col min="11548" max="11548" width="7.85546875" style="9" customWidth="1"/>
    <col min="11549" max="11549" width="8.7109375" style="9" customWidth="1"/>
    <col min="11550" max="11782" width="9.140625" style="9"/>
    <col min="11783" max="11783" width="5.42578125" style="9" customWidth="1"/>
    <col min="11784" max="11784" width="45.140625" style="9" customWidth="1"/>
    <col min="11785" max="11786" width="12" style="9" customWidth="1"/>
    <col min="11787" max="11787" width="16.140625" style="9" customWidth="1"/>
    <col min="11788" max="11788" width="7.7109375" style="9" customWidth="1"/>
    <col min="11789" max="11789" width="12" style="9" customWidth="1"/>
    <col min="11790" max="11791" width="9" style="9" customWidth="1"/>
    <col min="11792" max="11792" width="11.28515625" style="9" customWidth="1"/>
    <col min="11793" max="11794" width="12" style="9" customWidth="1"/>
    <col min="11795" max="11795" width="17.140625" style="9" customWidth="1"/>
    <col min="11796" max="11796" width="9" style="9" customWidth="1"/>
    <col min="11797" max="11797" width="12" style="9" customWidth="1"/>
    <col min="11798" max="11799" width="9" style="9" customWidth="1"/>
    <col min="11800" max="11800" width="9.85546875" style="9" customWidth="1"/>
    <col min="11801" max="11801" width="10.140625" style="9" customWidth="1"/>
    <col min="11802" max="11802" width="7.85546875" style="9" customWidth="1"/>
    <col min="11803" max="11803" width="8.5703125" style="9" customWidth="1"/>
    <col min="11804" max="11804" width="7.85546875" style="9" customWidth="1"/>
    <col min="11805" max="11805" width="8.7109375" style="9" customWidth="1"/>
    <col min="11806" max="12038" width="9.140625" style="9"/>
    <col min="12039" max="12039" width="5.42578125" style="9" customWidth="1"/>
    <col min="12040" max="12040" width="45.140625" style="9" customWidth="1"/>
    <col min="12041" max="12042" width="12" style="9" customWidth="1"/>
    <col min="12043" max="12043" width="16.140625" style="9" customWidth="1"/>
    <col min="12044" max="12044" width="7.7109375" style="9" customWidth="1"/>
    <col min="12045" max="12045" width="12" style="9" customWidth="1"/>
    <col min="12046" max="12047" width="9" style="9" customWidth="1"/>
    <col min="12048" max="12048" width="11.28515625" style="9" customWidth="1"/>
    <col min="12049" max="12050" width="12" style="9" customWidth="1"/>
    <col min="12051" max="12051" width="17.140625" style="9" customWidth="1"/>
    <col min="12052" max="12052" width="9" style="9" customWidth="1"/>
    <col min="12053" max="12053" width="12" style="9" customWidth="1"/>
    <col min="12054" max="12055" width="9" style="9" customWidth="1"/>
    <col min="12056" max="12056" width="9.85546875" style="9" customWidth="1"/>
    <col min="12057" max="12057" width="10.140625" style="9" customWidth="1"/>
    <col min="12058" max="12058" width="7.85546875" style="9" customWidth="1"/>
    <col min="12059" max="12059" width="8.5703125" style="9" customWidth="1"/>
    <col min="12060" max="12060" width="7.85546875" style="9" customWidth="1"/>
    <col min="12061" max="12061" width="8.7109375" style="9" customWidth="1"/>
    <col min="12062" max="12294" width="9.140625" style="9"/>
    <col min="12295" max="12295" width="5.42578125" style="9" customWidth="1"/>
    <col min="12296" max="12296" width="45.140625" style="9" customWidth="1"/>
    <col min="12297" max="12298" width="12" style="9" customWidth="1"/>
    <col min="12299" max="12299" width="16.140625" style="9" customWidth="1"/>
    <col min="12300" max="12300" width="7.7109375" style="9" customWidth="1"/>
    <col min="12301" max="12301" width="12" style="9" customWidth="1"/>
    <col min="12302" max="12303" width="9" style="9" customWidth="1"/>
    <col min="12304" max="12304" width="11.28515625" style="9" customWidth="1"/>
    <col min="12305" max="12306" width="12" style="9" customWidth="1"/>
    <col min="12307" max="12307" width="17.140625" style="9" customWidth="1"/>
    <col min="12308" max="12308" width="9" style="9" customWidth="1"/>
    <col min="12309" max="12309" width="12" style="9" customWidth="1"/>
    <col min="12310" max="12311" width="9" style="9" customWidth="1"/>
    <col min="12312" max="12312" width="9.85546875" style="9" customWidth="1"/>
    <col min="12313" max="12313" width="10.140625" style="9" customWidth="1"/>
    <col min="12314" max="12314" width="7.85546875" style="9" customWidth="1"/>
    <col min="12315" max="12315" width="8.5703125" style="9" customWidth="1"/>
    <col min="12316" max="12316" width="7.85546875" style="9" customWidth="1"/>
    <col min="12317" max="12317" width="8.7109375" style="9" customWidth="1"/>
    <col min="12318" max="12550" width="9.140625" style="9"/>
    <col min="12551" max="12551" width="5.42578125" style="9" customWidth="1"/>
    <col min="12552" max="12552" width="45.140625" style="9" customWidth="1"/>
    <col min="12553" max="12554" width="12" style="9" customWidth="1"/>
    <col min="12555" max="12555" width="16.140625" style="9" customWidth="1"/>
    <col min="12556" max="12556" width="7.7109375" style="9" customWidth="1"/>
    <col min="12557" max="12557" width="12" style="9" customWidth="1"/>
    <col min="12558" max="12559" width="9" style="9" customWidth="1"/>
    <col min="12560" max="12560" width="11.28515625" style="9" customWidth="1"/>
    <col min="12561" max="12562" width="12" style="9" customWidth="1"/>
    <col min="12563" max="12563" width="17.140625" style="9" customWidth="1"/>
    <col min="12564" max="12564" width="9" style="9" customWidth="1"/>
    <col min="12565" max="12565" width="12" style="9" customWidth="1"/>
    <col min="12566" max="12567" width="9" style="9" customWidth="1"/>
    <col min="12568" max="12568" width="9.85546875" style="9" customWidth="1"/>
    <col min="12569" max="12569" width="10.140625" style="9" customWidth="1"/>
    <col min="12570" max="12570" width="7.85546875" style="9" customWidth="1"/>
    <col min="12571" max="12571" width="8.5703125" style="9" customWidth="1"/>
    <col min="12572" max="12572" width="7.85546875" style="9" customWidth="1"/>
    <col min="12573" max="12573" width="8.7109375" style="9" customWidth="1"/>
    <col min="12574" max="12806" width="9.140625" style="9"/>
    <col min="12807" max="12807" width="5.42578125" style="9" customWidth="1"/>
    <col min="12808" max="12808" width="45.140625" style="9" customWidth="1"/>
    <col min="12809" max="12810" width="12" style="9" customWidth="1"/>
    <col min="12811" max="12811" width="16.140625" style="9" customWidth="1"/>
    <col min="12812" max="12812" width="7.7109375" style="9" customWidth="1"/>
    <col min="12813" max="12813" width="12" style="9" customWidth="1"/>
    <col min="12814" max="12815" width="9" style="9" customWidth="1"/>
    <col min="12816" max="12816" width="11.28515625" style="9" customWidth="1"/>
    <col min="12817" max="12818" width="12" style="9" customWidth="1"/>
    <col min="12819" max="12819" width="17.140625" style="9" customWidth="1"/>
    <col min="12820" max="12820" width="9" style="9" customWidth="1"/>
    <col min="12821" max="12821" width="12" style="9" customWidth="1"/>
    <col min="12822" max="12823" width="9" style="9" customWidth="1"/>
    <col min="12824" max="12824" width="9.85546875" style="9" customWidth="1"/>
    <col min="12825" max="12825" width="10.140625" style="9" customWidth="1"/>
    <col min="12826" max="12826" width="7.85546875" style="9" customWidth="1"/>
    <col min="12827" max="12827" width="8.5703125" style="9" customWidth="1"/>
    <col min="12828" max="12828" width="7.85546875" style="9" customWidth="1"/>
    <col min="12829" max="12829" width="8.7109375" style="9" customWidth="1"/>
    <col min="12830" max="13062" width="9.140625" style="9"/>
    <col min="13063" max="13063" width="5.42578125" style="9" customWidth="1"/>
    <col min="13064" max="13064" width="45.140625" style="9" customWidth="1"/>
    <col min="13065" max="13066" width="12" style="9" customWidth="1"/>
    <col min="13067" max="13067" width="16.140625" style="9" customWidth="1"/>
    <col min="13068" max="13068" width="7.7109375" style="9" customWidth="1"/>
    <col min="13069" max="13069" width="12" style="9" customWidth="1"/>
    <col min="13070" max="13071" width="9" style="9" customWidth="1"/>
    <col min="13072" max="13072" width="11.28515625" style="9" customWidth="1"/>
    <col min="13073" max="13074" width="12" style="9" customWidth="1"/>
    <col min="13075" max="13075" width="17.140625" style="9" customWidth="1"/>
    <col min="13076" max="13076" width="9" style="9" customWidth="1"/>
    <col min="13077" max="13077" width="12" style="9" customWidth="1"/>
    <col min="13078" max="13079" width="9" style="9" customWidth="1"/>
    <col min="13080" max="13080" width="9.85546875" style="9" customWidth="1"/>
    <col min="13081" max="13081" width="10.140625" style="9" customWidth="1"/>
    <col min="13082" max="13082" width="7.85546875" style="9" customWidth="1"/>
    <col min="13083" max="13083" width="8.5703125" style="9" customWidth="1"/>
    <col min="13084" max="13084" width="7.85546875" style="9" customWidth="1"/>
    <col min="13085" max="13085" width="8.7109375" style="9" customWidth="1"/>
    <col min="13086" max="13318" width="9.140625" style="9"/>
    <col min="13319" max="13319" width="5.42578125" style="9" customWidth="1"/>
    <col min="13320" max="13320" width="45.140625" style="9" customWidth="1"/>
    <col min="13321" max="13322" width="12" style="9" customWidth="1"/>
    <col min="13323" max="13323" width="16.140625" style="9" customWidth="1"/>
    <col min="13324" max="13324" width="7.7109375" style="9" customWidth="1"/>
    <col min="13325" max="13325" width="12" style="9" customWidth="1"/>
    <col min="13326" max="13327" width="9" style="9" customWidth="1"/>
    <col min="13328" max="13328" width="11.28515625" style="9" customWidth="1"/>
    <col min="13329" max="13330" width="12" style="9" customWidth="1"/>
    <col min="13331" max="13331" width="17.140625" style="9" customWidth="1"/>
    <col min="13332" max="13332" width="9" style="9" customWidth="1"/>
    <col min="13333" max="13333" width="12" style="9" customWidth="1"/>
    <col min="13334" max="13335" width="9" style="9" customWidth="1"/>
    <col min="13336" max="13336" width="9.85546875" style="9" customWidth="1"/>
    <col min="13337" max="13337" width="10.140625" style="9" customWidth="1"/>
    <col min="13338" max="13338" width="7.85546875" style="9" customWidth="1"/>
    <col min="13339" max="13339" width="8.5703125" style="9" customWidth="1"/>
    <col min="13340" max="13340" width="7.85546875" style="9" customWidth="1"/>
    <col min="13341" max="13341" width="8.7109375" style="9" customWidth="1"/>
    <col min="13342" max="13574" width="9.140625" style="9"/>
    <col min="13575" max="13575" width="5.42578125" style="9" customWidth="1"/>
    <col min="13576" max="13576" width="45.140625" style="9" customWidth="1"/>
    <col min="13577" max="13578" width="12" style="9" customWidth="1"/>
    <col min="13579" max="13579" width="16.140625" style="9" customWidth="1"/>
    <col min="13580" max="13580" width="7.7109375" style="9" customWidth="1"/>
    <col min="13581" max="13581" width="12" style="9" customWidth="1"/>
    <col min="13582" max="13583" width="9" style="9" customWidth="1"/>
    <col min="13584" max="13584" width="11.28515625" style="9" customWidth="1"/>
    <col min="13585" max="13586" width="12" style="9" customWidth="1"/>
    <col min="13587" max="13587" width="17.140625" style="9" customWidth="1"/>
    <col min="13588" max="13588" width="9" style="9" customWidth="1"/>
    <col min="13589" max="13589" width="12" style="9" customWidth="1"/>
    <col min="13590" max="13591" width="9" style="9" customWidth="1"/>
    <col min="13592" max="13592" width="9.85546875" style="9" customWidth="1"/>
    <col min="13593" max="13593" width="10.140625" style="9" customWidth="1"/>
    <col min="13594" max="13594" width="7.85546875" style="9" customWidth="1"/>
    <col min="13595" max="13595" width="8.5703125" style="9" customWidth="1"/>
    <col min="13596" max="13596" width="7.85546875" style="9" customWidth="1"/>
    <col min="13597" max="13597" width="8.7109375" style="9" customWidth="1"/>
    <col min="13598" max="13830" width="9.140625" style="9"/>
    <col min="13831" max="13831" width="5.42578125" style="9" customWidth="1"/>
    <col min="13832" max="13832" width="45.140625" style="9" customWidth="1"/>
    <col min="13833" max="13834" width="12" style="9" customWidth="1"/>
    <col min="13835" max="13835" width="16.140625" style="9" customWidth="1"/>
    <col min="13836" max="13836" width="7.7109375" style="9" customWidth="1"/>
    <col min="13837" max="13837" width="12" style="9" customWidth="1"/>
    <col min="13838" max="13839" width="9" style="9" customWidth="1"/>
    <col min="13840" max="13840" width="11.28515625" style="9" customWidth="1"/>
    <col min="13841" max="13842" width="12" style="9" customWidth="1"/>
    <col min="13843" max="13843" width="17.140625" style="9" customWidth="1"/>
    <col min="13844" max="13844" width="9" style="9" customWidth="1"/>
    <col min="13845" max="13845" width="12" style="9" customWidth="1"/>
    <col min="13846" max="13847" width="9" style="9" customWidth="1"/>
    <col min="13848" max="13848" width="9.85546875" style="9" customWidth="1"/>
    <col min="13849" max="13849" width="10.140625" style="9" customWidth="1"/>
    <col min="13850" max="13850" width="7.85546875" style="9" customWidth="1"/>
    <col min="13851" max="13851" width="8.5703125" style="9" customWidth="1"/>
    <col min="13852" max="13852" width="7.85546875" style="9" customWidth="1"/>
    <col min="13853" max="13853" width="8.7109375" style="9" customWidth="1"/>
    <col min="13854" max="14086" width="9.140625" style="9"/>
    <col min="14087" max="14087" width="5.42578125" style="9" customWidth="1"/>
    <col min="14088" max="14088" width="45.140625" style="9" customWidth="1"/>
    <col min="14089" max="14090" width="12" style="9" customWidth="1"/>
    <col min="14091" max="14091" width="16.140625" style="9" customWidth="1"/>
    <col min="14092" max="14092" width="7.7109375" style="9" customWidth="1"/>
    <col min="14093" max="14093" width="12" style="9" customWidth="1"/>
    <col min="14094" max="14095" width="9" style="9" customWidth="1"/>
    <col min="14096" max="14096" width="11.28515625" style="9" customWidth="1"/>
    <col min="14097" max="14098" width="12" style="9" customWidth="1"/>
    <col min="14099" max="14099" width="17.140625" style="9" customWidth="1"/>
    <col min="14100" max="14100" width="9" style="9" customWidth="1"/>
    <col min="14101" max="14101" width="12" style="9" customWidth="1"/>
    <col min="14102" max="14103" width="9" style="9" customWidth="1"/>
    <col min="14104" max="14104" width="9.85546875" style="9" customWidth="1"/>
    <col min="14105" max="14105" width="10.140625" style="9" customWidth="1"/>
    <col min="14106" max="14106" width="7.85546875" style="9" customWidth="1"/>
    <col min="14107" max="14107" width="8.5703125" style="9" customWidth="1"/>
    <col min="14108" max="14108" width="7.85546875" style="9" customWidth="1"/>
    <col min="14109" max="14109" width="8.7109375" style="9" customWidth="1"/>
    <col min="14110" max="14342" width="9.140625" style="9"/>
    <col min="14343" max="14343" width="5.42578125" style="9" customWidth="1"/>
    <col min="14344" max="14344" width="45.140625" style="9" customWidth="1"/>
    <col min="14345" max="14346" width="12" style="9" customWidth="1"/>
    <col min="14347" max="14347" width="16.140625" style="9" customWidth="1"/>
    <col min="14348" max="14348" width="7.7109375" style="9" customWidth="1"/>
    <col min="14349" max="14349" width="12" style="9" customWidth="1"/>
    <col min="14350" max="14351" width="9" style="9" customWidth="1"/>
    <col min="14352" max="14352" width="11.28515625" style="9" customWidth="1"/>
    <col min="14353" max="14354" width="12" style="9" customWidth="1"/>
    <col min="14355" max="14355" width="17.140625" style="9" customWidth="1"/>
    <col min="14356" max="14356" width="9" style="9" customWidth="1"/>
    <col min="14357" max="14357" width="12" style="9" customWidth="1"/>
    <col min="14358" max="14359" width="9" style="9" customWidth="1"/>
    <col min="14360" max="14360" width="9.85546875" style="9" customWidth="1"/>
    <col min="14361" max="14361" width="10.140625" style="9" customWidth="1"/>
    <col min="14362" max="14362" width="7.85546875" style="9" customWidth="1"/>
    <col min="14363" max="14363" width="8.5703125" style="9" customWidth="1"/>
    <col min="14364" max="14364" width="7.85546875" style="9" customWidth="1"/>
    <col min="14365" max="14365" width="8.7109375" style="9" customWidth="1"/>
    <col min="14366" max="14598" width="9.140625" style="9"/>
    <col min="14599" max="14599" width="5.42578125" style="9" customWidth="1"/>
    <col min="14600" max="14600" width="45.140625" style="9" customWidth="1"/>
    <col min="14601" max="14602" width="12" style="9" customWidth="1"/>
    <col min="14603" max="14603" width="16.140625" style="9" customWidth="1"/>
    <col min="14604" max="14604" width="7.7109375" style="9" customWidth="1"/>
    <col min="14605" max="14605" width="12" style="9" customWidth="1"/>
    <col min="14606" max="14607" width="9" style="9" customWidth="1"/>
    <col min="14608" max="14608" width="11.28515625" style="9" customWidth="1"/>
    <col min="14609" max="14610" width="12" style="9" customWidth="1"/>
    <col min="14611" max="14611" width="17.140625" style="9" customWidth="1"/>
    <col min="14612" max="14612" width="9" style="9" customWidth="1"/>
    <col min="14613" max="14613" width="12" style="9" customWidth="1"/>
    <col min="14614" max="14615" width="9" style="9" customWidth="1"/>
    <col min="14616" max="14616" width="9.85546875" style="9" customWidth="1"/>
    <col min="14617" max="14617" width="10.140625" style="9" customWidth="1"/>
    <col min="14618" max="14618" width="7.85546875" style="9" customWidth="1"/>
    <col min="14619" max="14619" width="8.5703125" style="9" customWidth="1"/>
    <col min="14620" max="14620" width="7.85546875" style="9" customWidth="1"/>
    <col min="14621" max="14621" width="8.7109375" style="9" customWidth="1"/>
    <col min="14622" max="14854" width="9.140625" style="9"/>
    <col min="14855" max="14855" width="5.42578125" style="9" customWidth="1"/>
    <col min="14856" max="14856" width="45.140625" style="9" customWidth="1"/>
    <col min="14857" max="14858" width="12" style="9" customWidth="1"/>
    <col min="14859" max="14859" width="16.140625" style="9" customWidth="1"/>
    <col min="14860" max="14860" width="7.7109375" style="9" customWidth="1"/>
    <col min="14861" max="14861" width="12" style="9" customWidth="1"/>
    <col min="14862" max="14863" width="9" style="9" customWidth="1"/>
    <col min="14864" max="14864" width="11.28515625" style="9" customWidth="1"/>
    <col min="14865" max="14866" width="12" style="9" customWidth="1"/>
    <col min="14867" max="14867" width="17.140625" style="9" customWidth="1"/>
    <col min="14868" max="14868" width="9" style="9" customWidth="1"/>
    <col min="14869" max="14869" width="12" style="9" customWidth="1"/>
    <col min="14870" max="14871" width="9" style="9" customWidth="1"/>
    <col min="14872" max="14872" width="9.85546875" style="9" customWidth="1"/>
    <col min="14873" max="14873" width="10.140625" style="9" customWidth="1"/>
    <col min="14874" max="14874" width="7.85546875" style="9" customWidth="1"/>
    <col min="14875" max="14875" width="8.5703125" style="9" customWidth="1"/>
    <col min="14876" max="14876" width="7.85546875" style="9" customWidth="1"/>
    <col min="14877" max="14877" width="8.7109375" style="9" customWidth="1"/>
    <col min="14878" max="15110" width="9.140625" style="9"/>
    <col min="15111" max="15111" width="5.42578125" style="9" customWidth="1"/>
    <col min="15112" max="15112" width="45.140625" style="9" customWidth="1"/>
    <col min="15113" max="15114" width="12" style="9" customWidth="1"/>
    <col min="15115" max="15115" width="16.140625" style="9" customWidth="1"/>
    <col min="15116" max="15116" width="7.7109375" style="9" customWidth="1"/>
    <col min="15117" max="15117" width="12" style="9" customWidth="1"/>
    <col min="15118" max="15119" width="9" style="9" customWidth="1"/>
    <col min="15120" max="15120" width="11.28515625" style="9" customWidth="1"/>
    <col min="15121" max="15122" width="12" style="9" customWidth="1"/>
    <col min="15123" max="15123" width="17.140625" style="9" customWidth="1"/>
    <col min="15124" max="15124" width="9" style="9" customWidth="1"/>
    <col min="15125" max="15125" width="12" style="9" customWidth="1"/>
    <col min="15126" max="15127" width="9" style="9" customWidth="1"/>
    <col min="15128" max="15128" width="9.85546875" style="9" customWidth="1"/>
    <col min="15129" max="15129" width="10.140625" style="9" customWidth="1"/>
    <col min="15130" max="15130" width="7.85546875" style="9" customWidth="1"/>
    <col min="15131" max="15131" width="8.5703125" style="9" customWidth="1"/>
    <col min="15132" max="15132" width="7.85546875" style="9" customWidth="1"/>
    <col min="15133" max="15133" width="8.7109375" style="9" customWidth="1"/>
    <col min="15134" max="15366" width="9.140625" style="9"/>
    <col min="15367" max="15367" width="5.42578125" style="9" customWidth="1"/>
    <col min="15368" max="15368" width="45.140625" style="9" customWidth="1"/>
    <col min="15369" max="15370" width="12" style="9" customWidth="1"/>
    <col min="15371" max="15371" width="16.140625" style="9" customWidth="1"/>
    <col min="15372" max="15372" width="7.7109375" style="9" customWidth="1"/>
    <col min="15373" max="15373" width="12" style="9" customWidth="1"/>
    <col min="15374" max="15375" width="9" style="9" customWidth="1"/>
    <col min="15376" max="15376" width="11.28515625" style="9" customWidth="1"/>
    <col min="15377" max="15378" width="12" style="9" customWidth="1"/>
    <col min="15379" max="15379" width="17.140625" style="9" customWidth="1"/>
    <col min="15380" max="15380" width="9" style="9" customWidth="1"/>
    <col min="15381" max="15381" width="12" style="9" customWidth="1"/>
    <col min="15382" max="15383" width="9" style="9" customWidth="1"/>
    <col min="15384" max="15384" width="9.85546875" style="9" customWidth="1"/>
    <col min="15385" max="15385" width="10.140625" style="9" customWidth="1"/>
    <col min="15386" max="15386" width="7.85546875" style="9" customWidth="1"/>
    <col min="15387" max="15387" width="8.5703125" style="9" customWidth="1"/>
    <col min="15388" max="15388" width="7.85546875" style="9" customWidth="1"/>
    <col min="15389" max="15389" width="8.7109375" style="9" customWidth="1"/>
    <col min="15390" max="15622" width="9.140625" style="9"/>
    <col min="15623" max="15623" width="5.42578125" style="9" customWidth="1"/>
    <col min="15624" max="15624" width="45.140625" style="9" customWidth="1"/>
    <col min="15625" max="15626" width="12" style="9" customWidth="1"/>
    <col min="15627" max="15627" width="16.140625" style="9" customWidth="1"/>
    <col min="15628" max="15628" width="7.7109375" style="9" customWidth="1"/>
    <col min="15629" max="15629" width="12" style="9" customWidth="1"/>
    <col min="15630" max="15631" width="9" style="9" customWidth="1"/>
    <col min="15632" max="15632" width="11.28515625" style="9" customWidth="1"/>
    <col min="15633" max="15634" width="12" style="9" customWidth="1"/>
    <col min="15635" max="15635" width="17.140625" style="9" customWidth="1"/>
    <col min="15636" max="15636" width="9" style="9" customWidth="1"/>
    <col min="15637" max="15637" width="12" style="9" customWidth="1"/>
    <col min="15638" max="15639" width="9" style="9" customWidth="1"/>
    <col min="15640" max="15640" width="9.85546875" style="9" customWidth="1"/>
    <col min="15641" max="15641" width="10.140625" style="9" customWidth="1"/>
    <col min="15642" max="15642" width="7.85546875" style="9" customWidth="1"/>
    <col min="15643" max="15643" width="8.5703125" style="9" customWidth="1"/>
    <col min="15644" max="15644" width="7.85546875" style="9" customWidth="1"/>
    <col min="15645" max="15645" width="8.7109375" style="9" customWidth="1"/>
    <col min="15646" max="15878" width="9.140625" style="9"/>
    <col min="15879" max="15879" width="5.42578125" style="9" customWidth="1"/>
    <col min="15880" max="15880" width="45.140625" style="9" customWidth="1"/>
    <col min="15881" max="15882" width="12" style="9" customWidth="1"/>
    <col min="15883" max="15883" width="16.140625" style="9" customWidth="1"/>
    <col min="15884" max="15884" width="7.7109375" style="9" customWidth="1"/>
    <col min="15885" max="15885" width="12" style="9" customWidth="1"/>
    <col min="15886" max="15887" width="9" style="9" customWidth="1"/>
    <col min="15888" max="15888" width="11.28515625" style="9" customWidth="1"/>
    <col min="15889" max="15890" width="12" style="9" customWidth="1"/>
    <col min="15891" max="15891" width="17.140625" style="9" customWidth="1"/>
    <col min="15892" max="15892" width="9" style="9" customWidth="1"/>
    <col min="15893" max="15893" width="12" style="9" customWidth="1"/>
    <col min="15894" max="15895" width="9" style="9" customWidth="1"/>
    <col min="15896" max="15896" width="9.85546875" style="9" customWidth="1"/>
    <col min="15897" max="15897" width="10.140625" style="9" customWidth="1"/>
    <col min="15898" max="15898" width="7.85546875" style="9" customWidth="1"/>
    <col min="15899" max="15899" width="8.5703125" style="9" customWidth="1"/>
    <col min="15900" max="15900" width="7.85546875" style="9" customWidth="1"/>
    <col min="15901" max="15901" width="8.7109375" style="9" customWidth="1"/>
    <col min="15902" max="16134" width="9.140625" style="9"/>
    <col min="16135" max="16135" width="5.42578125" style="9" customWidth="1"/>
    <col min="16136" max="16136" width="45.140625" style="9" customWidth="1"/>
    <col min="16137" max="16138" width="12" style="9" customWidth="1"/>
    <col min="16139" max="16139" width="16.140625" style="9" customWidth="1"/>
    <col min="16140" max="16140" width="7.7109375" style="9" customWidth="1"/>
    <col min="16141" max="16141" width="12" style="9" customWidth="1"/>
    <col min="16142" max="16143" width="9" style="9" customWidth="1"/>
    <col min="16144" max="16144" width="11.28515625" style="9" customWidth="1"/>
    <col min="16145" max="16146" width="12" style="9" customWidth="1"/>
    <col min="16147" max="16147" width="17.140625" style="9" customWidth="1"/>
    <col min="16148" max="16148" width="9" style="9" customWidth="1"/>
    <col min="16149" max="16149" width="12" style="9" customWidth="1"/>
    <col min="16150" max="16151" width="9" style="9" customWidth="1"/>
    <col min="16152" max="16152" width="9.85546875" style="9" customWidth="1"/>
    <col min="16153" max="16153" width="10.140625" style="9" customWidth="1"/>
    <col min="16154" max="16154" width="7.85546875" style="9" customWidth="1"/>
    <col min="16155" max="16155" width="8.5703125" style="9" customWidth="1"/>
    <col min="16156" max="16156" width="7.85546875" style="9" customWidth="1"/>
    <col min="16157" max="16157" width="8.7109375" style="9" customWidth="1"/>
    <col min="16158" max="16384" width="9.140625" style="9"/>
  </cols>
  <sheetData>
    <row r="1" spans="1:35" ht="16.5" x14ac:dyDescent="0.25">
      <c r="A1" s="48"/>
      <c r="B1" s="351" t="s">
        <v>514</v>
      </c>
      <c r="C1" s="351"/>
      <c r="D1" s="27"/>
      <c r="E1" s="6"/>
      <c r="F1" s="6"/>
      <c r="G1" s="6"/>
      <c r="H1" s="6"/>
      <c r="O1" s="27"/>
      <c r="P1" s="6"/>
      <c r="Q1" s="6"/>
      <c r="R1" s="6"/>
      <c r="AB1" s="15"/>
      <c r="AF1" s="9"/>
    </row>
    <row r="2" spans="1:35" x14ac:dyDescent="0.25">
      <c r="A2" s="29"/>
      <c r="B2" s="6"/>
      <c r="C2" s="6"/>
      <c r="D2" s="27"/>
      <c r="G2" s="6"/>
      <c r="O2" s="27"/>
      <c r="AB2" s="6"/>
      <c r="AF2" s="9"/>
    </row>
    <row r="3" spans="1:35" ht="21.75" customHeight="1" x14ac:dyDescent="0.25">
      <c r="A3" s="318" t="s">
        <v>421</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49"/>
    </row>
    <row r="4" spans="1:35" ht="21.75" customHeight="1" x14ac:dyDescent="0.25">
      <c r="A4" s="333" t="s">
        <v>489</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49"/>
    </row>
    <row r="5" spans="1:35" ht="21.75" hidden="1" customHeight="1" x14ac:dyDescent="0.25">
      <c r="A5" s="113"/>
      <c r="B5" s="51"/>
      <c r="C5" s="202"/>
      <c r="D5" s="51"/>
      <c r="E5" s="51"/>
      <c r="F5" s="51"/>
      <c r="G5" s="51"/>
      <c r="H5" s="202"/>
      <c r="I5" s="202"/>
      <c r="J5" s="51"/>
      <c r="K5" s="51"/>
      <c r="L5" s="51"/>
      <c r="M5" s="51"/>
      <c r="N5" s="51"/>
      <c r="O5" s="51"/>
      <c r="P5" s="51"/>
      <c r="Q5" s="51"/>
      <c r="R5" s="51"/>
      <c r="S5" s="51"/>
      <c r="T5" s="51"/>
      <c r="U5" s="51"/>
      <c r="V5" s="51"/>
      <c r="W5" s="51"/>
      <c r="X5" s="51"/>
      <c r="Y5" s="51"/>
      <c r="Z5" s="51"/>
      <c r="AA5" s="51"/>
      <c r="AB5" s="51"/>
      <c r="AC5" s="51"/>
      <c r="AD5" s="51"/>
      <c r="AE5" s="51"/>
      <c r="AF5" s="49"/>
    </row>
    <row r="6" spans="1:35" hidden="1" x14ac:dyDescent="0.25">
      <c r="B6" s="203"/>
      <c r="C6" s="204"/>
      <c r="D6" s="6"/>
      <c r="E6" s="6"/>
      <c r="F6" s="6"/>
      <c r="G6" s="6"/>
      <c r="H6" s="6"/>
      <c r="I6" s="6"/>
      <c r="J6" s="6"/>
      <c r="K6" s="6"/>
      <c r="L6" s="6"/>
      <c r="M6" s="6"/>
      <c r="N6" s="205">
        <f>N11+'[2]bieu 52_'!D9</f>
        <v>8083350.9689600011</v>
      </c>
      <c r="O6" s="6"/>
      <c r="P6" s="6"/>
      <c r="Q6" s="6"/>
      <c r="R6" s="6"/>
      <c r="S6" s="6"/>
      <c r="T6" s="6"/>
      <c r="U6" s="6"/>
      <c r="W6" s="27"/>
      <c r="X6" s="6"/>
      <c r="Y6" s="6"/>
      <c r="Z6" s="6"/>
      <c r="AA6" s="6"/>
      <c r="AB6" s="334"/>
      <c r="AC6" s="334"/>
      <c r="AD6" s="352" t="s">
        <v>490</v>
      </c>
      <c r="AE6" s="352"/>
      <c r="AF6" s="9"/>
    </row>
    <row r="7" spans="1:35" s="52" customFormat="1" ht="15.75" customHeight="1" x14ac:dyDescent="0.2">
      <c r="A7" s="324" t="s">
        <v>2</v>
      </c>
      <c r="B7" s="324" t="s">
        <v>97</v>
      </c>
      <c r="C7" s="325" t="s">
        <v>35</v>
      </c>
      <c r="D7" s="326"/>
      <c r="E7" s="326"/>
      <c r="F7" s="326"/>
      <c r="G7" s="326"/>
      <c r="H7" s="326"/>
      <c r="I7" s="326"/>
      <c r="J7" s="326"/>
      <c r="K7" s="326"/>
      <c r="L7" s="326"/>
      <c r="M7" s="327"/>
      <c r="N7" s="325" t="s">
        <v>5</v>
      </c>
      <c r="O7" s="326"/>
      <c r="P7" s="326"/>
      <c r="Q7" s="326"/>
      <c r="R7" s="326"/>
      <c r="S7" s="326"/>
      <c r="T7" s="326"/>
      <c r="U7" s="326"/>
      <c r="V7" s="326"/>
      <c r="W7" s="326"/>
      <c r="X7" s="326"/>
      <c r="Y7" s="112"/>
      <c r="Z7" s="112"/>
      <c r="AA7" s="112"/>
      <c r="AB7" s="324" t="s">
        <v>6</v>
      </c>
      <c r="AC7" s="324"/>
      <c r="AD7" s="324"/>
      <c r="AE7" s="324"/>
    </row>
    <row r="8" spans="1:35" s="52" customFormat="1" ht="25.5" customHeight="1" x14ac:dyDescent="0.2">
      <c r="A8" s="324"/>
      <c r="B8" s="324"/>
      <c r="C8" s="324" t="s">
        <v>253</v>
      </c>
      <c r="D8" s="324" t="s">
        <v>99</v>
      </c>
      <c r="E8" s="324" t="s">
        <v>100</v>
      </c>
      <c r="F8" s="324" t="s">
        <v>227</v>
      </c>
      <c r="G8" s="325" t="s">
        <v>228</v>
      </c>
      <c r="H8" s="327"/>
      <c r="I8" s="324" t="s">
        <v>254</v>
      </c>
      <c r="J8" s="328" t="s">
        <v>515</v>
      </c>
      <c r="K8" s="324" t="s">
        <v>101</v>
      </c>
      <c r="L8" s="324"/>
      <c r="M8" s="324"/>
      <c r="N8" s="324" t="s">
        <v>98</v>
      </c>
      <c r="O8" s="324" t="s">
        <v>99</v>
      </c>
      <c r="P8" s="324" t="s">
        <v>100</v>
      </c>
      <c r="Q8" s="329" t="s">
        <v>124</v>
      </c>
      <c r="R8" s="330"/>
      <c r="S8" s="324" t="s">
        <v>254</v>
      </c>
      <c r="T8" s="324" t="s">
        <v>515</v>
      </c>
      <c r="U8" s="324" t="s">
        <v>101</v>
      </c>
      <c r="V8" s="324"/>
      <c r="W8" s="324"/>
      <c r="X8" s="324" t="s">
        <v>102</v>
      </c>
      <c r="Y8" s="325" t="s">
        <v>124</v>
      </c>
      <c r="Z8" s="327"/>
      <c r="AA8" s="324" t="s">
        <v>255</v>
      </c>
      <c r="AB8" s="324" t="s">
        <v>98</v>
      </c>
      <c r="AC8" s="332" t="s">
        <v>99</v>
      </c>
      <c r="AD8" s="332" t="s">
        <v>100</v>
      </c>
      <c r="AE8" s="332" t="s">
        <v>101</v>
      </c>
    </row>
    <row r="9" spans="1:35" s="56" customFormat="1" ht="160.5" customHeight="1" x14ac:dyDescent="0.2">
      <c r="A9" s="324"/>
      <c r="B9" s="324"/>
      <c r="C9" s="324"/>
      <c r="D9" s="324"/>
      <c r="E9" s="324"/>
      <c r="F9" s="324"/>
      <c r="G9" s="53" t="s">
        <v>128</v>
      </c>
      <c r="H9" s="53" t="s">
        <v>127</v>
      </c>
      <c r="I9" s="324"/>
      <c r="J9" s="328"/>
      <c r="K9" s="54" t="s">
        <v>98</v>
      </c>
      <c r="L9" s="54" t="s">
        <v>103</v>
      </c>
      <c r="M9" s="54" t="s">
        <v>104</v>
      </c>
      <c r="N9" s="324"/>
      <c r="O9" s="324"/>
      <c r="P9" s="324"/>
      <c r="Q9" s="55" t="s">
        <v>158</v>
      </c>
      <c r="R9" s="55" t="s">
        <v>159</v>
      </c>
      <c r="S9" s="324"/>
      <c r="T9" s="324"/>
      <c r="U9" s="54" t="s">
        <v>98</v>
      </c>
      <c r="V9" s="54" t="s">
        <v>103</v>
      </c>
      <c r="W9" s="54" t="s">
        <v>104</v>
      </c>
      <c r="X9" s="324"/>
      <c r="Y9" s="53" t="s">
        <v>161</v>
      </c>
      <c r="Z9" s="53" t="s">
        <v>160</v>
      </c>
      <c r="AA9" s="324"/>
      <c r="AB9" s="324"/>
      <c r="AC9" s="332"/>
      <c r="AD9" s="332"/>
      <c r="AE9" s="332"/>
    </row>
    <row r="10" spans="1:35" s="59" customFormat="1" ht="18.75" customHeight="1" x14ac:dyDescent="0.2">
      <c r="A10" s="57" t="s">
        <v>7</v>
      </c>
      <c r="B10" s="57" t="s">
        <v>8</v>
      </c>
      <c r="C10" s="57" t="s">
        <v>152</v>
      </c>
      <c r="D10" s="57">
        <v>2</v>
      </c>
      <c r="E10" s="57">
        <v>3</v>
      </c>
      <c r="F10" s="57"/>
      <c r="G10" s="57"/>
      <c r="H10" s="57"/>
      <c r="I10" s="57">
        <v>4</v>
      </c>
      <c r="J10" s="57">
        <v>5</v>
      </c>
      <c r="K10" s="57" t="s">
        <v>141</v>
      </c>
      <c r="L10" s="57">
        <v>7</v>
      </c>
      <c r="M10" s="57">
        <v>8</v>
      </c>
      <c r="N10" s="58" t="s">
        <v>516</v>
      </c>
      <c r="O10" s="57">
        <v>10</v>
      </c>
      <c r="P10" s="57">
        <v>11</v>
      </c>
      <c r="Q10" s="57"/>
      <c r="R10" s="57"/>
      <c r="S10" s="57">
        <v>12</v>
      </c>
      <c r="T10" s="57">
        <v>13</v>
      </c>
      <c r="U10" s="57" t="s">
        <v>153</v>
      </c>
      <c r="V10" s="57">
        <v>15</v>
      </c>
      <c r="W10" s="57">
        <v>16</v>
      </c>
      <c r="X10" s="57" t="s">
        <v>517</v>
      </c>
      <c r="Y10" s="57">
        <v>18</v>
      </c>
      <c r="Z10" s="57">
        <v>19</v>
      </c>
      <c r="AA10" s="57">
        <v>20</v>
      </c>
      <c r="AB10" s="57" t="s">
        <v>518</v>
      </c>
      <c r="AC10" s="57" t="s">
        <v>519</v>
      </c>
      <c r="AD10" s="57" t="s">
        <v>520</v>
      </c>
      <c r="AE10" s="57" t="s">
        <v>521</v>
      </c>
      <c r="AG10" s="206">
        <f>O11-'[2]bieu 53_'!M8</f>
        <v>1986836.6887870003</v>
      </c>
    </row>
    <row r="11" spans="1:35" s="36" customFormat="1" ht="18.75" customHeight="1" x14ac:dyDescent="0.25">
      <c r="A11" s="60"/>
      <c r="B11" s="60" t="s">
        <v>98</v>
      </c>
      <c r="C11" s="61">
        <f>D11+E11+I11+J11+K11</f>
        <v>4869530.6639999999</v>
      </c>
      <c r="D11" s="60">
        <f>D12+D111+D112+D113+D116+D117+D103+D114</f>
        <v>2621912.6639999999</v>
      </c>
      <c r="E11" s="60">
        <f t="shared" ref="E11:M11" si="0">E12+E111+E112+E113+E116+E117+E103+E114</f>
        <v>1779289</v>
      </c>
      <c r="F11" s="60">
        <f t="shared" si="0"/>
        <v>1636507</v>
      </c>
      <c r="G11" s="60">
        <f t="shared" si="0"/>
        <v>18680</v>
      </c>
      <c r="H11" s="60">
        <f t="shared" si="0"/>
        <v>124102</v>
      </c>
      <c r="I11" s="60">
        <f t="shared" si="0"/>
        <v>2000</v>
      </c>
      <c r="J11" s="60">
        <f t="shared" si="0"/>
        <v>466329</v>
      </c>
      <c r="K11" s="60">
        <f t="shared" si="0"/>
        <v>0</v>
      </c>
      <c r="L11" s="60">
        <f t="shared" si="0"/>
        <v>0</v>
      </c>
      <c r="M11" s="60">
        <f t="shared" si="0"/>
        <v>0</v>
      </c>
      <c r="N11" s="60">
        <f t="shared" ref="N11:S11" si="1">N12+N111+N112+N113+N116+N117+N118+N115</f>
        <v>6076279.9689600011</v>
      </c>
      <c r="O11" s="60">
        <f t="shared" si="1"/>
        <v>1986836.6887870003</v>
      </c>
      <c r="P11" s="60">
        <f t="shared" si="1"/>
        <v>1838051.2794800003</v>
      </c>
      <c r="Q11" s="60">
        <f t="shared" si="1"/>
        <v>1496560.9167680005</v>
      </c>
      <c r="R11" s="60">
        <f t="shared" si="1"/>
        <v>341490.36271199997</v>
      </c>
      <c r="S11" s="60">
        <f t="shared" si="1"/>
        <v>9500.851999999999</v>
      </c>
      <c r="T11" s="60">
        <f>T12+T111+T112+T113+T116+T117+T118+T115</f>
        <v>546390.10800000001</v>
      </c>
      <c r="U11" s="60">
        <f t="shared" ref="U11:AA11" si="2">U12+U111+U112+U113+U116+U117+U118+U115</f>
        <v>37058.607468999995</v>
      </c>
      <c r="V11" s="60">
        <f t="shared" si="2"/>
        <v>36570.607468999995</v>
      </c>
      <c r="W11" s="60">
        <f t="shared" si="2"/>
        <v>488</v>
      </c>
      <c r="X11" s="60">
        <f t="shared" si="2"/>
        <v>1326874.6171550001</v>
      </c>
      <c r="Y11" s="60">
        <f t="shared" si="2"/>
        <v>0</v>
      </c>
      <c r="Z11" s="60">
        <f t="shared" si="2"/>
        <v>0</v>
      </c>
      <c r="AA11" s="60">
        <f t="shared" si="2"/>
        <v>331567.81606899999</v>
      </c>
      <c r="AB11" s="62">
        <f t="shared" ref="AB11:AC26" si="3">N11/C11%</f>
        <v>124.78163478631299</v>
      </c>
      <c r="AC11" s="62">
        <f>O11/D11%</f>
        <v>75.778141509712782</v>
      </c>
      <c r="AD11" s="62">
        <f t="shared" ref="AD11:AD72" si="4">P11/E11%</f>
        <v>103.30257082913458</v>
      </c>
      <c r="AE11" s="62"/>
    </row>
    <row r="12" spans="1:35" s="36" customFormat="1" ht="24.75" customHeight="1" x14ac:dyDescent="0.25">
      <c r="A12" s="61" t="s">
        <v>39</v>
      </c>
      <c r="B12" s="63" t="s">
        <v>256</v>
      </c>
      <c r="C12" s="61">
        <f>D12+E12+I12+J12+K12</f>
        <v>4327873.6639999999</v>
      </c>
      <c r="D12" s="61">
        <f t="shared" ref="D12:Z12" si="5">D13+D91</f>
        <v>2621912.6639999999</v>
      </c>
      <c r="E12" s="61">
        <f t="shared" si="5"/>
        <v>1705961</v>
      </c>
      <c r="F12" s="61">
        <f t="shared" si="5"/>
        <v>1563179</v>
      </c>
      <c r="G12" s="61">
        <f t="shared" si="5"/>
        <v>18680</v>
      </c>
      <c r="H12" s="61">
        <f t="shared" si="5"/>
        <v>124102</v>
      </c>
      <c r="I12" s="61">
        <f t="shared" si="5"/>
        <v>0</v>
      </c>
      <c r="J12" s="61">
        <f t="shared" si="5"/>
        <v>0</v>
      </c>
      <c r="K12" s="61">
        <f t="shared" si="5"/>
        <v>0</v>
      </c>
      <c r="L12" s="61">
        <f t="shared" si="5"/>
        <v>0</v>
      </c>
      <c r="M12" s="61">
        <f t="shared" si="5"/>
        <v>0</v>
      </c>
      <c r="N12" s="61">
        <f t="shared" si="5"/>
        <v>3861946.5757360002</v>
      </c>
      <c r="O12" s="61">
        <f t="shared" si="5"/>
        <v>1986836.6887870003</v>
      </c>
      <c r="P12" s="61">
        <f t="shared" si="5"/>
        <v>1838051.2794800003</v>
      </c>
      <c r="Q12" s="61">
        <f t="shared" si="5"/>
        <v>1496560.9167680005</v>
      </c>
      <c r="R12" s="61">
        <f t="shared" si="5"/>
        <v>341490.36271199997</v>
      </c>
      <c r="S12" s="61">
        <f t="shared" si="5"/>
        <v>0</v>
      </c>
      <c r="T12" s="61">
        <f t="shared" si="5"/>
        <v>0</v>
      </c>
      <c r="U12" s="61">
        <f t="shared" si="5"/>
        <v>37058.607468999995</v>
      </c>
      <c r="V12" s="61">
        <f t="shared" si="5"/>
        <v>36570.607468999995</v>
      </c>
      <c r="W12" s="61">
        <f t="shared" si="5"/>
        <v>488</v>
      </c>
      <c r="X12" s="61">
        <f t="shared" si="5"/>
        <v>0</v>
      </c>
      <c r="Y12" s="61">
        <f t="shared" si="5"/>
        <v>0</v>
      </c>
      <c r="Z12" s="61">
        <f t="shared" si="5"/>
        <v>0</v>
      </c>
      <c r="AA12" s="61"/>
      <c r="AB12" s="62">
        <f t="shared" si="3"/>
        <v>89.234272429445866</v>
      </c>
      <c r="AC12" s="62">
        <f t="shared" si="3"/>
        <v>75.778141509712782</v>
      </c>
      <c r="AD12" s="62">
        <f t="shared" si="4"/>
        <v>107.74286630702579</v>
      </c>
      <c r="AE12" s="62"/>
      <c r="AG12" s="44"/>
    </row>
    <row r="13" spans="1:35" s="36" customFormat="1" ht="33.75" customHeight="1" x14ac:dyDescent="0.25">
      <c r="A13" s="61" t="s">
        <v>257</v>
      </c>
      <c r="B13" s="63" t="s">
        <v>258</v>
      </c>
      <c r="C13" s="61">
        <f>D13+E13+I13+J13+K13</f>
        <v>3942688.429</v>
      </c>
      <c r="D13" s="61">
        <f t="shared" ref="D13:Z13" si="6">SUM(D14:D90)</f>
        <v>2236727.429</v>
      </c>
      <c r="E13" s="61">
        <f t="shared" si="6"/>
        <v>1705961</v>
      </c>
      <c r="F13" s="61">
        <f t="shared" si="6"/>
        <v>1563179</v>
      </c>
      <c r="G13" s="61">
        <f t="shared" si="6"/>
        <v>18680</v>
      </c>
      <c r="H13" s="61">
        <f t="shared" si="6"/>
        <v>124102</v>
      </c>
      <c r="I13" s="61">
        <f t="shared" si="6"/>
        <v>0</v>
      </c>
      <c r="J13" s="61">
        <f t="shared" si="6"/>
        <v>0</v>
      </c>
      <c r="K13" s="61">
        <f t="shared" si="6"/>
        <v>0</v>
      </c>
      <c r="L13" s="61">
        <f t="shared" si="6"/>
        <v>0</v>
      </c>
      <c r="M13" s="61">
        <f t="shared" si="6"/>
        <v>0</v>
      </c>
      <c r="N13" s="61">
        <f t="shared" si="6"/>
        <v>3481286.4938780004</v>
      </c>
      <c r="O13" s="61">
        <f t="shared" si="6"/>
        <v>1642747.2143980002</v>
      </c>
      <c r="P13" s="61">
        <f t="shared" si="6"/>
        <v>1838051.2794800003</v>
      </c>
      <c r="Q13" s="61">
        <f>SUM(Q14:Q90)</f>
        <v>1496560.9167680005</v>
      </c>
      <c r="R13" s="61">
        <f>SUM(R14:R90)</f>
        <v>341490.36271199997</v>
      </c>
      <c r="S13" s="61">
        <f t="shared" si="6"/>
        <v>0</v>
      </c>
      <c r="T13" s="61">
        <f t="shared" si="6"/>
        <v>0</v>
      </c>
      <c r="U13" s="61">
        <f t="shared" si="6"/>
        <v>488</v>
      </c>
      <c r="V13" s="61">
        <f t="shared" si="6"/>
        <v>0</v>
      </c>
      <c r="W13" s="61">
        <f t="shared" si="6"/>
        <v>488</v>
      </c>
      <c r="X13" s="61">
        <f t="shared" si="6"/>
        <v>0</v>
      </c>
      <c r="Y13" s="61">
        <f t="shared" si="6"/>
        <v>0</v>
      </c>
      <c r="Z13" s="61">
        <f t="shared" si="6"/>
        <v>0</v>
      </c>
      <c r="AA13" s="61"/>
      <c r="AB13" s="62">
        <f t="shared" si="3"/>
        <v>88.297276251194234</v>
      </c>
      <c r="AC13" s="62">
        <f t="shared" si="3"/>
        <v>73.444228970377594</v>
      </c>
      <c r="AD13" s="62">
        <f t="shared" si="4"/>
        <v>107.74286630702579</v>
      </c>
      <c r="AE13" s="62"/>
      <c r="AG13" s="207"/>
      <c r="AH13" s="28"/>
      <c r="AI13" s="9"/>
    </row>
    <row r="14" spans="1:35" s="16" customFormat="1" ht="39.75" customHeight="1" x14ac:dyDescent="0.25">
      <c r="A14" s="65" t="s">
        <v>259</v>
      </c>
      <c r="B14" s="66" t="s">
        <v>260</v>
      </c>
      <c r="C14" s="67">
        <f>D14+E14+I14+J14+K14</f>
        <v>166290</v>
      </c>
      <c r="D14" s="67">
        <v>250</v>
      </c>
      <c r="E14" s="67">
        <f>F14+G14+H14</f>
        <v>166040</v>
      </c>
      <c r="F14" s="67">
        <v>165840</v>
      </c>
      <c r="G14" s="67">
        <v>200</v>
      </c>
      <c r="H14" s="67"/>
      <c r="I14" s="67"/>
      <c r="J14" s="67"/>
      <c r="K14" s="67">
        <f t="shared" ref="K14:K77" si="7">L14+M14</f>
        <v>0</v>
      </c>
      <c r="L14" s="67"/>
      <c r="M14" s="67"/>
      <c r="N14" s="67">
        <f>O14+P14+S14+T14+U14</f>
        <v>146126.40807100001</v>
      </c>
      <c r="O14" s="67">
        <v>1193.7137930000001</v>
      </c>
      <c r="P14" s="68">
        <f>Q14+R14</f>
        <v>144444.69427800001</v>
      </c>
      <c r="Q14" s="67">
        <f>4887.369031+843.243745+5691.7265+6778.87+3363.60898+703.733361+3235.103974+786.635+21176.980855+3285.118+2083.747343+12795.319481+1051.02495+629+17698.562889+10964.759+3912.787817+10759.320824+1729.705+1557.2+3134.343208+3726.59409+10561.64199+13589.29124-12.993-488</f>
        <v>144444.69427800001</v>
      </c>
      <c r="R14" s="68"/>
      <c r="S14" s="67"/>
      <c r="T14" s="67"/>
      <c r="U14" s="67">
        <f t="shared" ref="U14:U35" si="8">V14+W14</f>
        <v>488</v>
      </c>
      <c r="V14" s="67"/>
      <c r="W14" s="67">
        <v>488</v>
      </c>
      <c r="X14" s="67"/>
      <c r="Y14" s="67"/>
      <c r="Z14" s="67"/>
      <c r="AA14" s="67"/>
      <c r="AB14" s="69">
        <f t="shared" si="3"/>
        <v>87.874441079439535</v>
      </c>
      <c r="AC14" s="69">
        <f>O14/D14%</f>
        <v>477.48551720000006</v>
      </c>
      <c r="AD14" s="69">
        <f t="shared" si="4"/>
        <v>86.99391368224525</v>
      </c>
      <c r="AE14" s="69"/>
      <c r="AG14" s="9"/>
      <c r="AH14" s="51"/>
      <c r="AI14" s="9"/>
    </row>
    <row r="15" spans="1:35" s="16" customFormat="1" ht="24.75" customHeight="1" x14ac:dyDescent="0.25">
      <c r="A15" s="70" t="s">
        <v>261</v>
      </c>
      <c r="B15" s="71" t="s">
        <v>262</v>
      </c>
      <c r="C15" s="67">
        <f t="shared" ref="C15:C78" si="9">D15+E15+I15+J15+K15</f>
        <v>77715.236999999994</v>
      </c>
      <c r="D15" s="67">
        <v>816.23699999999997</v>
      </c>
      <c r="E15" s="67">
        <f t="shared" ref="E15:E78" si="10">F15+G15+H15</f>
        <v>76899</v>
      </c>
      <c r="F15" s="67">
        <v>32226</v>
      </c>
      <c r="G15" s="67"/>
      <c r="H15" s="67">
        <f>479+44194</f>
        <v>44673</v>
      </c>
      <c r="I15" s="67"/>
      <c r="J15" s="67"/>
      <c r="K15" s="67">
        <f t="shared" si="7"/>
        <v>0</v>
      </c>
      <c r="L15" s="67"/>
      <c r="M15" s="67"/>
      <c r="N15" s="67">
        <f>O15+P15+S15+T15+U15</f>
        <v>90576.17381600001</v>
      </c>
      <c r="O15" s="67">
        <v>751.81200000000001</v>
      </c>
      <c r="P15" s="68">
        <f t="shared" ref="P15:P78" si="11">Q15+R15</f>
        <v>89824.361816000004</v>
      </c>
      <c r="Q15" s="67">
        <f>259+4843.880669+81611.327559+3110.153588</f>
        <v>89824.361816000004</v>
      </c>
      <c r="R15" s="67"/>
      <c r="S15" s="67"/>
      <c r="T15" s="67"/>
      <c r="U15" s="67">
        <f t="shared" si="8"/>
        <v>0</v>
      </c>
      <c r="V15" s="67"/>
      <c r="W15" s="67"/>
      <c r="X15" s="67"/>
      <c r="Y15" s="67"/>
      <c r="Z15" s="67"/>
      <c r="AA15" s="67"/>
      <c r="AB15" s="69">
        <f t="shared" si="3"/>
        <v>116.54879700875135</v>
      </c>
      <c r="AC15" s="69">
        <f t="shared" si="3"/>
        <v>92.107071843104407</v>
      </c>
      <c r="AD15" s="69">
        <f t="shared" si="4"/>
        <v>116.80823133720855</v>
      </c>
      <c r="AE15" s="69"/>
      <c r="AG15" s="9"/>
      <c r="AH15" s="6"/>
      <c r="AI15" s="9"/>
    </row>
    <row r="16" spans="1:35" s="16" customFormat="1" ht="24.75" customHeight="1" x14ac:dyDescent="0.25">
      <c r="A16" s="65" t="s">
        <v>263</v>
      </c>
      <c r="B16" s="72" t="s">
        <v>264</v>
      </c>
      <c r="C16" s="67">
        <f t="shared" si="9"/>
        <v>5803</v>
      </c>
      <c r="D16" s="67"/>
      <c r="E16" s="67">
        <f t="shared" si="10"/>
        <v>5803</v>
      </c>
      <c r="F16" s="67">
        <v>5803</v>
      </c>
      <c r="G16" s="67"/>
      <c r="H16" s="67"/>
      <c r="I16" s="67"/>
      <c r="J16" s="67"/>
      <c r="K16" s="67">
        <f t="shared" si="7"/>
        <v>0</v>
      </c>
      <c r="L16" s="67"/>
      <c r="M16" s="67"/>
      <c r="N16" s="67">
        <f t="shared" ref="N16:N79" si="12">O16+P16+S16+T16+U16</f>
        <v>5417.5056859999995</v>
      </c>
      <c r="O16" s="67"/>
      <c r="P16" s="68">
        <f t="shared" si="11"/>
        <v>5417.5056859999995</v>
      </c>
      <c r="Q16" s="67">
        <f>5170.267414+247.238272</f>
        <v>5417.5056859999995</v>
      </c>
      <c r="R16" s="68"/>
      <c r="S16" s="67"/>
      <c r="T16" s="67"/>
      <c r="U16" s="67">
        <f t="shared" si="8"/>
        <v>0</v>
      </c>
      <c r="V16" s="67"/>
      <c r="W16" s="67"/>
      <c r="X16" s="67"/>
      <c r="Y16" s="67"/>
      <c r="Z16" s="67"/>
      <c r="AA16" s="67"/>
      <c r="AB16" s="69">
        <f t="shared" si="3"/>
        <v>93.356982353954834</v>
      </c>
      <c r="AC16" s="69"/>
      <c r="AD16" s="69">
        <f t="shared" si="4"/>
        <v>93.356982353954834</v>
      </c>
      <c r="AE16" s="69"/>
      <c r="AG16" s="9"/>
      <c r="AH16" s="6"/>
      <c r="AI16" s="9"/>
    </row>
    <row r="17" spans="1:38" s="16" customFormat="1" ht="24.75" customHeight="1" x14ac:dyDescent="0.25">
      <c r="A17" s="70" t="s">
        <v>265</v>
      </c>
      <c r="B17" s="72" t="s">
        <v>266</v>
      </c>
      <c r="C17" s="67">
        <f t="shared" si="9"/>
        <v>30712.26</v>
      </c>
      <c r="D17" s="73">
        <v>19.260000000000002</v>
      </c>
      <c r="E17" s="67">
        <f t="shared" si="10"/>
        <v>30693</v>
      </c>
      <c r="F17" s="67">
        <v>30693</v>
      </c>
      <c r="G17" s="67"/>
      <c r="H17" s="67"/>
      <c r="I17" s="67"/>
      <c r="J17" s="67"/>
      <c r="K17" s="67">
        <f t="shared" si="7"/>
        <v>0</v>
      </c>
      <c r="L17" s="67"/>
      <c r="M17" s="67"/>
      <c r="N17" s="67">
        <f t="shared" si="12"/>
        <v>83430.323854000002</v>
      </c>
      <c r="O17" s="67">
        <v>1701.2249999999999</v>
      </c>
      <c r="P17" s="68">
        <f t="shared" si="11"/>
        <v>81729.098853999996</v>
      </c>
      <c r="Q17" s="67">
        <f>1435.098+73080.019893+4721.003961+740.2+1752.777</f>
        <v>81729.098853999996</v>
      </c>
      <c r="R17" s="67"/>
      <c r="S17" s="67"/>
      <c r="T17" s="67"/>
      <c r="U17" s="67">
        <f t="shared" si="8"/>
        <v>0</v>
      </c>
      <c r="V17" s="67"/>
      <c r="W17" s="67"/>
      <c r="X17" s="67"/>
      <c r="Y17" s="67"/>
      <c r="Z17" s="67"/>
      <c r="AA17" s="67"/>
      <c r="AB17" s="69">
        <f t="shared" si="3"/>
        <v>271.65152891386049</v>
      </c>
      <c r="AC17" s="69">
        <f t="shared" si="3"/>
        <v>8832.9439252336433</v>
      </c>
      <c r="AD17" s="69">
        <f t="shared" si="4"/>
        <v>266.27927818720877</v>
      </c>
      <c r="AE17" s="69"/>
      <c r="AH17" s="45"/>
    </row>
    <row r="18" spans="1:38" s="16" customFormat="1" ht="24.75" customHeight="1" x14ac:dyDescent="0.25">
      <c r="A18" s="65" t="s">
        <v>267</v>
      </c>
      <c r="B18" s="66" t="s">
        <v>268</v>
      </c>
      <c r="C18" s="67">
        <f t="shared" si="9"/>
        <v>16833</v>
      </c>
      <c r="D18" s="67">
        <v>7611</v>
      </c>
      <c r="E18" s="67">
        <f t="shared" si="10"/>
        <v>9222</v>
      </c>
      <c r="F18" s="67">
        <v>9222</v>
      </c>
      <c r="G18" s="67"/>
      <c r="H18" s="67"/>
      <c r="I18" s="67"/>
      <c r="J18" s="67"/>
      <c r="K18" s="67">
        <f t="shared" si="7"/>
        <v>0</v>
      </c>
      <c r="L18" s="67"/>
      <c r="M18" s="67"/>
      <c r="N18" s="67">
        <f t="shared" si="12"/>
        <v>20992.247212999999</v>
      </c>
      <c r="O18" s="67">
        <v>12054.132412999999</v>
      </c>
      <c r="P18" s="68">
        <f t="shared" si="11"/>
        <v>8938.1147999999994</v>
      </c>
      <c r="Q18" s="68">
        <f>6421.6658+2516.449</f>
        <v>8938.1147999999994</v>
      </c>
      <c r="R18" s="67"/>
      <c r="S18" s="67"/>
      <c r="T18" s="67"/>
      <c r="U18" s="67">
        <f t="shared" si="8"/>
        <v>0</v>
      </c>
      <c r="V18" s="67"/>
      <c r="W18" s="67"/>
      <c r="X18" s="67"/>
      <c r="Y18" s="67"/>
      <c r="Z18" s="67"/>
      <c r="AA18" s="67"/>
      <c r="AB18" s="69">
        <f t="shared" si="3"/>
        <v>124.70888857007068</v>
      </c>
      <c r="AC18" s="69">
        <f t="shared" si="3"/>
        <v>158.37777444488239</v>
      </c>
      <c r="AD18" s="69">
        <f t="shared" si="4"/>
        <v>96.921652569941443</v>
      </c>
      <c r="AE18" s="69"/>
    </row>
    <row r="19" spans="1:38" s="16" customFormat="1" ht="24.75" customHeight="1" x14ac:dyDescent="0.25">
      <c r="A19" s="70" t="s">
        <v>269</v>
      </c>
      <c r="B19" s="72" t="s">
        <v>270</v>
      </c>
      <c r="C19" s="67">
        <f t="shared" si="9"/>
        <v>397187.68200000003</v>
      </c>
      <c r="D19" s="67">
        <v>41445.682000000001</v>
      </c>
      <c r="E19" s="67">
        <f t="shared" si="10"/>
        <v>355742</v>
      </c>
      <c r="F19" s="67">
        <v>349969</v>
      </c>
      <c r="G19" s="67">
        <v>100</v>
      </c>
      <c r="H19" s="67">
        <f>1205+562+3868+38</f>
        <v>5673</v>
      </c>
      <c r="I19" s="67"/>
      <c r="J19" s="67"/>
      <c r="K19" s="67">
        <f t="shared" si="7"/>
        <v>0</v>
      </c>
      <c r="L19" s="67"/>
      <c r="M19" s="67"/>
      <c r="N19" s="67">
        <f t="shared" si="12"/>
        <v>430500.7961080001</v>
      </c>
      <c r="O19" s="67">
        <v>44775.869199999994</v>
      </c>
      <c r="P19" s="68">
        <f t="shared" si="11"/>
        <v>385724.92690800008</v>
      </c>
      <c r="Q19" s="74">
        <f>10942.04+10572.282+5780.957+12177.33275+5776.734+9737.712+10242.058967+96.819+3180.6319+3841.173104+9741.8205+12153.35+4622.072+11707.306199+8139.9885+10799.257049+27200.227856+107857.252164+17121.466397+47093.542+12031.697236+8706.257302+9054.385+7198.397+4433.7795+7591.198484+7925.189</f>
        <v>385724.92690800008</v>
      </c>
      <c r="R19" s="67"/>
      <c r="S19" s="67"/>
      <c r="T19" s="67"/>
      <c r="U19" s="67">
        <f t="shared" si="8"/>
        <v>0</v>
      </c>
      <c r="V19" s="67"/>
      <c r="W19" s="67"/>
      <c r="X19" s="67"/>
      <c r="Y19" s="67"/>
      <c r="Z19" s="67"/>
      <c r="AA19" s="67"/>
      <c r="AB19" s="69">
        <f t="shared" si="3"/>
        <v>108.38724754510389</v>
      </c>
      <c r="AC19" s="69">
        <f t="shared" si="3"/>
        <v>108.03506430416562</v>
      </c>
      <c r="AD19" s="69">
        <f t="shared" si="4"/>
        <v>108.42827861427666</v>
      </c>
      <c r="AE19" s="69"/>
      <c r="AL19" s="45"/>
    </row>
    <row r="20" spans="1:38" s="16" customFormat="1" ht="24.75" customHeight="1" x14ac:dyDescent="0.25">
      <c r="A20" s="65" t="s">
        <v>271</v>
      </c>
      <c r="B20" s="72" t="s">
        <v>272</v>
      </c>
      <c r="C20" s="67">
        <f t="shared" si="9"/>
        <v>343481</v>
      </c>
      <c r="D20" s="67">
        <f>30728+236-1</f>
        <v>30963</v>
      </c>
      <c r="E20" s="67">
        <f t="shared" si="10"/>
        <v>312518</v>
      </c>
      <c r="F20" s="67">
        <v>306306</v>
      </c>
      <c r="G20" s="67">
        <f>1529+4683</f>
        <v>6212</v>
      </c>
      <c r="H20" s="67"/>
      <c r="I20" s="67"/>
      <c r="J20" s="67"/>
      <c r="K20" s="67">
        <f t="shared" si="7"/>
        <v>0</v>
      </c>
      <c r="L20" s="67"/>
      <c r="M20" s="67"/>
      <c r="N20" s="67">
        <f t="shared" si="12"/>
        <v>355196.64174699999</v>
      </c>
      <c r="O20" s="67">
        <v>21207.079999999998</v>
      </c>
      <c r="P20" s="68">
        <f t="shared" si="11"/>
        <v>333989.56174699997</v>
      </c>
      <c r="Q20" s="67">
        <f>105+235544.825497+14902.534291+20432.742614+2622.671+13530.085411+2389.187+13171.844592+8880.91539+2923.854+364.70208+5510.860921+1120+2941.829</f>
        <v>324441.05179599999</v>
      </c>
      <c r="R20" s="67">
        <f>9548.509951</f>
        <v>9548.509951</v>
      </c>
      <c r="S20" s="67"/>
      <c r="T20" s="67"/>
      <c r="U20" s="67">
        <f t="shared" si="8"/>
        <v>0</v>
      </c>
      <c r="V20" s="67"/>
      <c r="W20" s="67"/>
      <c r="X20" s="67"/>
      <c r="Y20" s="67"/>
      <c r="Z20" s="67"/>
      <c r="AA20" s="67"/>
      <c r="AB20" s="69">
        <f t="shared" si="3"/>
        <v>103.41085583976988</v>
      </c>
      <c r="AC20" s="69">
        <f t="shared" si="3"/>
        <v>68.49168362238801</v>
      </c>
      <c r="AD20" s="69">
        <f t="shared" si="4"/>
        <v>106.87050401800856</v>
      </c>
      <c r="AE20" s="69"/>
    </row>
    <row r="21" spans="1:38" s="16" customFormat="1" ht="24.75" customHeight="1" x14ac:dyDescent="0.25">
      <c r="A21" s="70" t="s">
        <v>273</v>
      </c>
      <c r="B21" s="72" t="s">
        <v>522</v>
      </c>
      <c r="C21" s="67">
        <f t="shared" si="9"/>
        <v>66367</v>
      </c>
      <c r="D21" s="67">
        <v>20298</v>
      </c>
      <c r="E21" s="67">
        <f t="shared" si="10"/>
        <v>46069</v>
      </c>
      <c r="F21" s="67">
        <v>46031</v>
      </c>
      <c r="G21" s="67"/>
      <c r="H21" s="67">
        <v>38</v>
      </c>
      <c r="I21" s="67"/>
      <c r="J21" s="67"/>
      <c r="K21" s="67">
        <f t="shared" si="7"/>
        <v>0</v>
      </c>
      <c r="L21" s="67"/>
      <c r="M21" s="67"/>
      <c r="N21" s="67">
        <f t="shared" si="12"/>
        <v>40984.648715000003</v>
      </c>
      <c r="O21" s="67">
        <v>3522.6559999999999</v>
      </c>
      <c r="P21" s="68">
        <f t="shared" si="11"/>
        <v>37461.992715</v>
      </c>
      <c r="Q21" s="67">
        <f>25327.994226+9172.340489+2961.658</f>
        <v>37461.992715</v>
      </c>
      <c r="R21" s="67"/>
      <c r="S21" s="67"/>
      <c r="T21" s="67"/>
      <c r="U21" s="67">
        <f t="shared" si="8"/>
        <v>0</v>
      </c>
      <c r="V21" s="67"/>
      <c r="W21" s="67"/>
      <c r="X21" s="67"/>
      <c r="Y21" s="67"/>
      <c r="Z21" s="67"/>
      <c r="AA21" s="67"/>
      <c r="AB21" s="69">
        <f t="shared" si="3"/>
        <v>61.754559818885902</v>
      </c>
      <c r="AC21" s="69">
        <f t="shared" si="3"/>
        <v>17.354695043846686</v>
      </c>
      <c r="AD21" s="69">
        <f t="shared" si="4"/>
        <v>81.317138889491844</v>
      </c>
      <c r="AE21" s="69"/>
    </row>
    <row r="22" spans="1:38" s="16" customFormat="1" ht="24.75" customHeight="1" x14ac:dyDescent="0.25">
      <c r="A22" s="65" t="s">
        <v>274</v>
      </c>
      <c r="B22" s="72" t="s">
        <v>275</v>
      </c>
      <c r="C22" s="67">
        <f t="shared" si="9"/>
        <v>213246</v>
      </c>
      <c r="D22" s="67">
        <v>1354</v>
      </c>
      <c r="E22" s="67">
        <f t="shared" si="10"/>
        <v>211892</v>
      </c>
      <c r="F22" s="67">
        <v>210821</v>
      </c>
      <c r="G22" s="67"/>
      <c r="H22" s="67">
        <f>131+940</f>
        <v>1071</v>
      </c>
      <c r="I22" s="67"/>
      <c r="J22" s="67"/>
      <c r="K22" s="67">
        <f t="shared" si="7"/>
        <v>0</v>
      </c>
      <c r="L22" s="67"/>
      <c r="M22" s="67"/>
      <c r="N22" s="67">
        <f t="shared" si="12"/>
        <v>22972.895318999999</v>
      </c>
      <c r="O22" s="67">
        <v>1354</v>
      </c>
      <c r="P22" s="68">
        <f t="shared" si="11"/>
        <v>21618.895318999999</v>
      </c>
      <c r="Q22" s="67">
        <f>2154.679513+10017.026284+9447.189522</f>
        <v>21618.895318999999</v>
      </c>
      <c r="R22" s="67"/>
      <c r="S22" s="67"/>
      <c r="T22" s="67"/>
      <c r="U22" s="67">
        <f t="shared" si="8"/>
        <v>0</v>
      </c>
      <c r="V22" s="67"/>
      <c r="W22" s="67"/>
      <c r="X22" s="67"/>
      <c r="Y22" s="67"/>
      <c r="Z22" s="67"/>
      <c r="AA22" s="67"/>
      <c r="AB22" s="69">
        <f t="shared" si="3"/>
        <v>10.772954859176725</v>
      </c>
      <c r="AC22" s="69">
        <f t="shared" si="3"/>
        <v>100</v>
      </c>
      <c r="AD22" s="69">
        <f t="shared" si="4"/>
        <v>10.202789779227153</v>
      </c>
      <c r="AE22" s="69"/>
    </row>
    <row r="23" spans="1:38" s="16" customFormat="1" ht="24.75" customHeight="1" x14ac:dyDescent="0.25">
      <c r="A23" s="70" t="s">
        <v>276</v>
      </c>
      <c r="B23" s="72" t="s">
        <v>277</v>
      </c>
      <c r="C23" s="67">
        <f t="shared" si="9"/>
        <v>9285</v>
      </c>
      <c r="D23" s="67"/>
      <c r="E23" s="67">
        <f t="shared" si="10"/>
        <v>9285</v>
      </c>
      <c r="F23" s="67">
        <v>9247</v>
      </c>
      <c r="G23" s="67"/>
      <c r="H23" s="67">
        <v>38</v>
      </c>
      <c r="I23" s="67"/>
      <c r="J23" s="67"/>
      <c r="K23" s="67">
        <f t="shared" si="7"/>
        <v>0</v>
      </c>
      <c r="L23" s="67"/>
      <c r="M23" s="67"/>
      <c r="N23" s="67">
        <f t="shared" si="12"/>
        <v>7878.4512000000004</v>
      </c>
      <c r="O23" s="67"/>
      <c r="P23" s="68">
        <f t="shared" si="11"/>
        <v>7878.4512000000004</v>
      </c>
      <c r="Q23" s="67">
        <f>1599+5860.4512+419</f>
        <v>7878.4512000000004</v>
      </c>
      <c r="R23" s="67"/>
      <c r="S23" s="67"/>
      <c r="T23" s="67"/>
      <c r="U23" s="67">
        <f t="shared" si="8"/>
        <v>0</v>
      </c>
      <c r="V23" s="67"/>
      <c r="W23" s="67"/>
      <c r="X23" s="67"/>
      <c r="Y23" s="67"/>
      <c r="Z23" s="67"/>
      <c r="AA23" s="67"/>
      <c r="AB23" s="69">
        <f t="shared" si="3"/>
        <v>84.851386106623593</v>
      </c>
      <c r="AC23" s="69"/>
      <c r="AD23" s="69">
        <f t="shared" si="4"/>
        <v>84.851386106623593</v>
      </c>
      <c r="AE23" s="69"/>
    </row>
    <row r="24" spans="1:38" s="16" customFormat="1" ht="34.5" customHeight="1" x14ac:dyDescent="0.25">
      <c r="A24" s="65" t="s">
        <v>278</v>
      </c>
      <c r="B24" s="72" t="s">
        <v>279</v>
      </c>
      <c r="C24" s="67">
        <f t="shared" si="9"/>
        <v>106853</v>
      </c>
      <c r="D24" s="67">
        <v>40650</v>
      </c>
      <c r="E24" s="67">
        <f t="shared" si="10"/>
        <v>66203</v>
      </c>
      <c r="F24" s="67">
        <v>66158</v>
      </c>
      <c r="G24" s="67"/>
      <c r="H24" s="67">
        <v>45</v>
      </c>
      <c r="I24" s="67"/>
      <c r="J24" s="67"/>
      <c r="K24" s="67">
        <f t="shared" si="7"/>
        <v>0</v>
      </c>
      <c r="L24" s="67"/>
      <c r="M24" s="67"/>
      <c r="N24" s="67">
        <f t="shared" si="12"/>
        <v>67884.233311999997</v>
      </c>
      <c r="O24" s="67">
        <f>2968.613+500</f>
        <v>3468.6129999999998</v>
      </c>
      <c r="P24" s="68">
        <f t="shared" si="11"/>
        <v>64415.620311999999</v>
      </c>
      <c r="Q24" s="67"/>
      <c r="R24" s="67">
        <v>64415.620311999999</v>
      </c>
      <c r="S24" s="67"/>
      <c r="T24" s="67"/>
      <c r="U24" s="67">
        <f t="shared" si="8"/>
        <v>0</v>
      </c>
      <c r="V24" s="67"/>
      <c r="W24" s="67"/>
      <c r="X24" s="67"/>
      <c r="Y24" s="67"/>
      <c r="Z24" s="67"/>
      <c r="AA24" s="67"/>
      <c r="AB24" s="69">
        <f t="shared" si="3"/>
        <v>63.530488907190254</v>
      </c>
      <c r="AC24" s="69">
        <f t="shared" si="3"/>
        <v>8.5328733087330875</v>
      </c>
      <c r="AD24" s="69">
        <f t="shared" si="4"/>
        <v>97.300153032339921</v>
      </c>
      <c r="AE24" s="69"/>
    </row>
    <row r="25" spans="1:38" s="16" customFormat="1" ht="24.75" customHeight="1" x14ac:dyDescent="0.25">
      <c r="A25" s="70" t="s">
        <v>280</v>
      </c>
      <c r="B25" s="72" t="s">
        <v>281</v>
      </c>
      <c r="C25" s="67">
        <f t="shared" si="9"/>
        <v>32352</v>
      </c>
      <c r="D25" s="67">
        <v>12500</v>
      </c>
      <c r="E25" s="67">
        <f t="shared" si="10"/>
        <v>19852</v>
      </c>
      <c r="F25" s="67">
        <v>19352</v>
      </c>
      <c r="G25" s="67"/>
      <c r="H25" s="67">
        <v>500</v>
      </c>
      <c r="I25" s="67"/>
      <c r="J25" s="67"/>
      <c r="K25" s="67">
        <f t="shared" si="7"/>
        <v>0</v>
      </c>
      <c r="L25" s="67"/>
      <c r="M25" s="67"/>
      <c r="N25" s="67">
        <f t="shared" si="12"/>
        <v>29425.206241</v>
      </c>
      <c r="O25" s="67">
        <v>17646.610184000001</v>
      </c>
      <c r="P25" s="68">
        <f t="shared" si="11"/>
        <v>11778.596057000001</v>
      </c>
      <c r="Q25" s="67">
        <f>9519.878105+285.200455+1973.517497</f>
        <v>11778.596057000001</v>
      </c>
      <c r="R25" s="67"/>
      <c r="S25" s="67"/>
      <c r="T25" s="67"/>
      <c r="U25" s="67">
        <f t="shared" si="8"/>
        <v>0</v>
      </c>
      <c r="V25" s="67"/>
      <c r="W25" s="67"/>
      <c r="X25" s="67"/>
      <c r="Y25" s="67"/>
      <c r="Z25" s="67"/>
      <c r="AA25" s="67"/>
      <c r="AB25" s="69">
        <f t="shared" si="3"/>
        <v>90.953283385880326</v>
      </c>
      <c r="AC25" s="69">
        <f t="shared" si="3"/>
        <v>141.172881472</v>
      </c>
      <c r="AD25" s="69">
        <f t="shared" si="4"/>
        <v>59.332037361474917</v>
      </c>
      <c r="AE25" s="69"/>
    </row>
    <row r="26" spans="1:38" s="16" customFormat="1" ht="24.75" customHeight="1" x14ac:dyDescent="0.25">
      <c r="A26" s="65" t="s">
        <v>282</v>
      </c>
      <c r="B26" s="72" t="s">
        <v>283</v>
      </c>
      <c r="C26" s="67">
        <f t="shared" si="9"/>
        <v>14280</v>
      </c>
      <c r="D26" s="67">
        <v>2950</v>
      </c>
      <c r="E26" s="67">
        <f t="shared" si="10"/>
        <v>11330</v>
      </c>
      <c r="F26" s="67">
        <v>11204</v>
      </c>
      <c r="G26" s="67"/>
      <c r="H26" s="67">
        <v>126</v>
      </c>
      <c r="I26" s="67"/>
      <c r="J26" s="67"/>
      <c r="K26" s="67">
        <f t="shared" si="7"/>
        <v>0</v>
      </c>
      <c r="L26" s="67"/>
      <c r="M26" s="67"/>
      <c r="N26" s="67">
        <f t="shared" si="12"/>
        <v>13643.786592</v>
      </c>
      <c r="O26" s="67">
        <v>2824.129148</v>
      </c>
      <c r="P26" s="68">
        <f t="shared" si="11"/>
        <v>10819.657444</v>
      </c>
      <c r="Q26" s="67">
        <f>2786.214444+7089.443+216+296+432</f>
        <v>10819.657444</v>
      </c>
      <c r="R26" s="67"/>
      <c r="S26" s="67"/>
      <c r="T26" s="67"/>
      <c r="U26" s="67">
        <f t="shared" si="8"/>
        <v>0</v>
      </c>
      <c r="V26" s="67"/>
      <c r="W26" s="67"/>
      <c r="X26" s="67"/>
      <c r="Y26" s="67"/>
      <c r="Z26" s="67"/>
      <c r="AA26" s="67"/>
      <c r="AB26" s="69">
        <f t="shared" si="3"/>
        <v>95.544724033613434</v>
      </c>
      <c r="AC26" s="69">
        <f t="shared" si="3"/>
        <v>95.733191457627115</v>
      </c>
      <c r="AD26" s="69">
        <f t="shared" si="4"/>
        <v>95.495652639011482</v>
      </c>
      <c r="AE26" s="69"/>
    </row>
    <row r="27" spans="1:38" s="16" customFormat="1" ht="24.75" customHeight="1" x14ac:dyDescent="0.25">
      <c r="A27" s="70" t="s">
        <v>284</v>
      </c>
      <c r="B27" s="72" t="s">
        <v>285</v>
      </c>
      <c r="C27" s="67">
        <f t="shared" si="9"/>
        <v>12784</v>
      </c>
      <c r="D27" s="67"/>
      <c r="E27" s="67">
        <f t="shared" si="10"/>
        <v>12784</v>
      </c>
      <c r="F27" s="67">
        <v>12746</v>
      </c>
      <c r="G27" s="67"/>
      <c r="H27" s="67">
        <v>38</v>
      </c>
      <c r="I27" s="67"/>
      <c r="J27" s="67"/>
      <c r="K27" s="67">
        <f t="shared" si="7"/>
        <v>0</v>
      </c>
      <c r="L27" s="67"/>
      <c r="M27" s="67"/>
      <c r="N27" s="67">
        <f t="shared" si="12"/>
        <v>12017.171110000001</v>
      </c>
      <c r="O27" s="67"/>
      <c r="P27" s="68">
        <f t="shared" si="11"/>
        <v>12017.171110000001</v>
      </c>
      <c r="Q27" s="67">
        <f>11351.365013+665.806097</f>
        <v>12017.171110000001</v>
      </c>
      <c r="R27" s="67"/>
      <c r="S27" s="67"/>
      <c r="T27" s="67"/>
      <c r="U27" s="67">
        <f t="shared" si="8"/>
        <v>0</v>
      </c>
      <c r="V27" s="67"/>
      <c r="W27" s="67"/>
      <c r="X27" s="67"/>
      <c r="Y27" s="67"/>
      <c r="Z27" s="67"/>
      <c r="AA27" s="67"/>
      <c r="AB27" s="69">
        <f t="shared" ref="AB27:AC90" si="13">N27/C27%</f>
        <v>94.001651361076355</v>
      </c>
      <c r="AC27" s="69"/>
      <c r="AD27" s="69">
        <f t="shared" si="4"/>
        <v>94.001651361076355</v>
      </c>
      <c r="AE27" s="69"/>
    </row>
    <row r="28" spans="1:38" s="16" customFormat="1" ht="24.75" customHeight="1" x14ac:dyDescent="0.25">
      <c r="A28" s="65" t="s">
        <v>286</v>
      </c>
      <c r="B28" s="72" t="s">
        <v>287</v>
      </c>
      <c r="C28" s="67">
        <f t="shared" si="9"/>
        <v>169536.39600000001</v>
      </c>
      <c r="D28" s="67">
        <f>154584.396+57</f>
        <v>154641.39600000001</v>
      </c>
      <c r="E28" s="67">
        <f t="shared" si="10"/>
        <v>14895</v>
      </c>
      <c r="F28" s="67">
        <v>14895</v>
      </c>
      <c r="G28" s="67"/>
      <c r="H28" s="67"/>
      <c r="I28" s="67"/>
      <c r="J28" s="67"/>
      <c r="K28" s="67">
        <f t="shared" si="7"/>
        <v>0</v>
      </c>
      <c r="L28" s="67"/>
      <c r="M28" s="67"/>
      <c r="N28" s="67">
        <f t="shared" si="12"/>
        <v>257672.10697399999</v>
      </c>
      <c r="O28" s="67">
        <f>243499.554982+1166</f>
        <v>244665.554982</v>
      </c>
      <c r="P28" s="68">
        <f t="shared" si="11"/>
        <v>13006.551992000001</v>
      </c>
      <c r="Q28" s="67">
        <f>10389.908727+1281.794+1334.849265</f>
        <v>13006.551992000001</v>
      </c>
      <c r="R28" s="67"/>
      <c r="S28" s="67"/>
      <c r="T28" s="67"/>
      <c r="U28" s="67">
        <f t="shared" si="8"/>
        <v>0</v>
      </c>
      <c r="V28" s="67"/>
      <c r="W28" s="67"/>
      <c r="X28" s="67"/>
      <c r="Y28" s="67"/>
      <c r="Z28" s="67"/>
      <c r="AA28" s="67"/>
      <c r="AB28" s="69">
        <f t="shared" si="13"/>
        <v>151.98630680694663</v>
      </c>
      <c r="AC28" s="69">
        <f t="shared" si="13"/>
        <v>158.21478679744976</v>
      </c>
      <c r="AD28" s="69">
        <f t="shared" si="4"/>
        <v>87.32159779791877</v>
      </c>
      <c r="AE28" s="69"/>
    </row>
    <row r="29" spans="1:38" s="16" customFormat="1" ht="24.75" customHeight="1" x14ac:dyDescent="0.25">
      <c r="A29" s="70" t="s">
        <v>288</v>
      </c>
      <c r="B29" s="72" t="s">
        <v>289</v>
      </c>
      <c r="C29" s="67">
        <f t="shared" si="9"/>
        <v>15365</v>
      </c>
      <c r="D29" s="67">
        <v>50</v>
      </c>
      <c r="E29" s="67">
        <f t="shared" si="10"/>
        <v>15315</v>
      </c>
      <c r="F29" s="67">
        <v>15315</v>
      </c>
      <c r="G29" s="67"/>
      <c r="H29" s="67"/>
      <c r="I29" s="67"/>
      <c r="J29" s="67"/>
      <c r="K29" s="67">
        <f t="shared" si="7"/>
        <v>0</v>
      </c>
      <c r="L29" s="67"/>
      <c r="M29" s="67"/>
      <c r="N29" s="67">
        <f t="shared" si="12"/>
        <v>22000.403539999999</v>
      </c>
      <c r="O29" s="67"/>
      <c r="P29" s="68">
        <f t="shared" si="11"/>
        <v>22000.403539999999</v>
      </c>
      <c r="Q29" s="68">
        <f>17483.887133+330.728539+1573.499158+2612.28871</f>
        <v>22000.403539999999</v>
      </c>
      <c r="R29" s="67"/>
      <c r="S29" s="67"/>
      <c r="T29" s="67"/>
      <c r="U29" s="67">
        <f t="shared" si="8"/>
        <v>0</v>
      </c>
      <c r="V29" s="67"/>
      <c r="W29" s="67"/>
      <c r="X29" s="67"/>
      <c r="Y29" s="67"/>
      <c r="Z29" s="67"/>
      <c r="AA29" s="67"/>
      <c r="AB29" s="69">
        <f t="shared" si="13"/>
        <v>143.18518411975268</v>
      </c>
      <c r="AC29" s="69">
        <f t="shared" si="13"/>
        <v>0</v>
      </c>
      <c r="AD29" s="69">
        <f t="shared" si="4"/>
        <v>143.65265125693765</v>
      </c>
      <c r="AE29" s="69"/>
    </row>
    <row r="30" spans="1:38" s="16" customFormat="1" ht="24.75" customHeight="1" x14ac:dyDescent="0.25">
      <c r="A30" s="65" t="s">
        <v>290</v>
      </c>
      <c r="B30" s="72" t="s">
        <v>291</v>
      </c>
      <c r="C30" s="67">
        <f t="shared" si="9"/>
        <v>18163</v>
      </c>
      <c r="D30" s="67">
        <v>1200</v>
      </c>
      <c r="E30" s="67">
        <f t="shared" si="10"/>
        <v>16963</v>
      </c>
      <c r="F30" s="67">
        <v>16918</v>
      </c>
      <c r="G30" s="67"/>
      <c r="H30" s="67">
        <v>45</v>
      </c>
      <c r="I30" s="67"/>
      <c r="J30" s="67"/>
      <c r="K30" s="67">
        <f t="shared" si="7"/>
        <v>0</v>
      </c>
      <c r="L30" s="67"/>
      <c r="M30" s="67"/>
      <c r="N30" s="67">
        <f t="shared" si="12"/>
        <v>18943.23</v>
      </c>
      <c r="O30" s="67">
        <v>1933.806</v>
      </c>
      <c r="P30" s="68">
        <f t="shared" si="11"/>
        <v>17009.423999999999</v>
      </c>
      <c r="Q30" s="67">
        <f>17009.424</f>
        <v>17009.423999999999</v>
      </c>
      <c r="R30" s="67"/>
      <c r="S30" s="67"/>
      <c r="T30" s="67"/>
      <c r="U30" s="67">
        <f t="shared" si="8"/>
        <v>0</v>
      </c>
      <c r="V30" s="67"/>
      <c r="W30" s="67"/>
      <c r="X30" s="67"/>
      <c r="Y30" s="67"/>
      <c r="Z30" s="67"/>
      <c r="AA30" s="67"/>
      <c r="AB30" s="69">
        <f t="shared" si="13"/>
        <v>104.29571106094808</v>
      </c>
      <c r="AC30" s="69">
        <f t="shared" si="13"/>
        <v>161.15049999999999</v>
      </c>
      <c r="AD30" s="69">
        <f t="shared" si="4"/>
        <v>100.27367800506985</v>
      </c>
      <c r="AE30" s="69"/>
    </row>
    <row r="31" spans="1:38" s="16" customFormat="1" ht="24.75" customHeight="1" x14ac:dyDescent="0.25">
      <c r="A31" s="70" t="s">
        <v>292</v>
      </c>
      <c r="B31" s="72" t="s">
        <v>131</v>
      </c>
      <c r="C31" s="67">
        <f t="shared" si="9"/>
        <v>6540</v>
      </c>
      <c r="D31" s="67"/>
      <c r="E31" s="67">
        <f t="shared" si="10"/>
        <v>6540</v>
      </c>
      <c r="F31" s="67">
        <v>5915</v>
      </c>
      <c r="G31" s="67"/>
      <c r="H31" s="67">
        <f>196+429</f>
        <v>625</v>
      </c>
      <c r="I31" s="67"/>
      <c r="J31" s="67"/>
      <c r="K31" s="67">
        <f t="shared" si="7"/>
        <v>0</v>
      </c>
      <c r="L31" s="67"/>
      <c r="M31" s="67"/>
      <c r="N31" s="67">
        <f t="shared" si="12"/>
        <v>90204.507664999997</v>
      </c>
      <c r="O31" s="67">
        <v>84143.342665000004</v>
      </c>
      <c r="P31" s="68">
        <f t="shared" si="11"/>
        <v>6061.165</v>
      </c>
      <c r="Q31" s="67">
        <v>6061.165</v>
      </c>
      <c r="R31" s="67"/>
      <c r="S31" s="67"/>
      <c r="T31" s="67"/>
      <c r="U31" s="67">
        <f t="shared" si="8"/>
        <v>0</v>
      </c>
      <c r="V31" s="67"/>
      <c r="W31" s="67"/>
      <c r="X31" s="67"/>
      <c r="Y31" s="67"/>
      <c r="Z31" s="67"/>
      <c r="AA31" s="67"/>
      <c r="AB31" s="69">
        <f t="shared" si="13"/>
        <v>1379.2738175076452</v>
      </c>
      <c r="AC31" s="69"/>
      <c r="AD31" s="69">
        <f t="shared" si="4"/>
        <v>92.67836391437308</v>
      </c>
      <c r="AE31" s="69"/>
    </row>
    <row r="32" spans="1:38" s="16" customFormat="1" ht="24.75" customHeight="1" x14ac:dyDescent="0.25">
      <c r="A32" s="65" t="s">
        <v>293</v>
      </c>
      <c r="B32" s="72" t="s">
        <v>294</v>
      </c>
      <c r="C32" s="67">
        <f t="shared" si="9"/>
        <v>8351</v>
      </c>
      <c r="D32" s="67"/>
      <c r="E32" s="67">
        <f t="shared" si="10"/>
        <v>8351</v>
      </c>
      <c r="F32" s="67">
        <v>8351</v>
      </c>
      <c r="G32" s="67"/>
      <c r="H32" s="67"/>
      <c r="I32" s="67"/>
      <c r="J32" s="67"/>
      <c r="K32" s="67">
        <f t="shared" si="7"/>
        <v>0</v>
      </c>
      <c r="L32" s="67"/>
      <c r="M32" s="67"/>
      <c r="N32" s="67">
        <f t="shared" si="12"/>
        <v>7175.5634520000003</v>
      </c>
      <c r="O32" s="67"/>
      <c r="P32" s="68">
        <f t="shared" si="11"/>
        <v>7175.5634520000003</v>
      </c>
      <c r="Q32" s="67">
        <f>5043.4602+2132.103252</f>
        <v>7175.5634520000003</v>
      </c>
      <c r="R32" s="67"/>
      <c r="S32" s="67"/>
      <c r="T32" s="67"/>
      <c r="U32" s="67">
        <f t="shared" si="8"/>
        <v>0</v>
      </c>
      <c r="V32" s="67"/>
      <c r="W32" s="67"/>
      <c r="X32" s="67"/>
      <c r="Y32" s="67"/>
      <c r="Z32" s="67"/>
      <c r="AA32" s="67"/>
      <c r="AB32" s="69">
        <f t="shared" si="13"/>
        <v>85.924601269309065</v>
      </c>
      <c r="AC32" s="69"/>
      <c r="AD32" s="69">
        <f t="shared" si="4"/>
        <v>85.924601269309065</v>
      </c>
      <c r="AE32" s="69"/>
    </row>
    <row r="33" spans="1:31" s="16" customFormat="1" ht="24.75" customHeight="1" x14ac:dyDescent="0.25">
      <c r="A33" s="70" t="s">
        <v>295</v>
      </c>
      <c r="B33" s="72" t="s">
        <v>523</v>
      </c>
      <c r="C33" s="67">
        <f t="shared" si="9"/>
        <v>7272</v>
      </c>
      <c r="D33" s="67"/>
      <c r="E33" s="67">
        <f t="shared" si="10"/>
        <v>7272</v>
      </c>
      <c r="F33" s="67">
        <v>7272</v>
      </c>
      <c r="G33" s="67"/>
      <c r="H33" s="67"/>
      <c r="I33" s="67"/>
      <c r="J33" s="67"/>
      <c r="K33" s="67">
        <f t="shared" si="7"/>
        <v>0</v>
      </c>
      <c r="L33" s="67"/>
      <c r="M33" s="67"/>
      <c r="N33" s="67">
        <f t="shared" si="12"/>
        <v>7656.1</v>
      </c>
      <c r="O33" s="67"/>
      <c r="P33" s="68">
        <f t="shared" si="11"/>
        <v>7656.1</v>
      </c>
      <c r="Q33" s="67">
        <v>7656.1</v>
      </c>
      <c r="R33" s="67"/>
      <c r="S33" s="67"/>
      <c r="T33" s="67"/>
      <c r="U33" s="67">
        <f t="shared" si="8"/>
        <v>0</v>
      </c>
      <c r="V33" s="67"/>
      <c r="W33" s="67"/>
      <c r="X33" s="67"/>
      <c r="Y33" s="67"/>
      <c r="Z33" s="67"/>
      <c r="AA33" s="67"/>
      <c r="AB33" s="69">
        <f t="shared" si="13"/>
        <v>105.28190319031904</v>
      </c>
      <c r="AC33" s="69"/>
      <c r="AD33" s="69">
        <f t="shared" si="4"/>
        <v>105.28190319031904</v>
      </c>
      <c r="AE33" s="69"/>
    </row>
    <row r="34" spans="1:31" s="16" customFormat="1" ht="24.75" customHeight="1" x14ac:dyDescent="0.25">
      <c r="A34" s="65" t="s">
        <v>296</v>
      </c>
      <c r="B34" s="72" t="s">
        <v>297</v>
      </c>
      <c r="C34" s="67">
        <f t="shared" si="9"/>
        <v>14115</v>
      </c>
      <c r="D34" s="67"/>
      <c r="E34" s="67">
        <f t="shared" si="10"/>
        <v>14115</v>
      </c>
      <c r="F34" s="67">
        <f>13815+300</f>
        <v>14115</v>
      </c>
      <c r="G34" s="67"/>
      <c r="H34" s="67"/>
      <c r="I34" s="67"/>
      <c r="J34" s="67"/>
      <c r="K34" s="67">
        <f t="shared" si="7"/>
        <v>0</v>
      </c>
      <c r="L34" s="67"/>
      <c r="M34" s="67"/>
      <c r="N34" s="67">
        <f t="shared" si="12"/>
        <v>15333.475177999999</v>
      </c>
      <c r="O34" s="67">
        <v>114.497</v>
      </c>
      <c r="P34" s="68">
        <f t="shared" si="11"/>
        <v>15218.978177999999</v>
      </c>
      <c r="Q34" s="67">
        <v>15218.978177999999</v>
      </c>
      <c r="R34" s="67"/>
      <c r="S34" s="67"/>
      <c r="T34" s="67"/>
      <c r="U34" s="67">
        <f t="shared" si="8"/>
        <v>0</v>
      </c>
      <c r="V34" s="67"/>
      <c r="W34" s="67"/>
      <c r="X34" s="67"/>
      <c r="Y34" s="67"/>
      <c r="Z34" s="67"/>
      <c r="AA34" s="67"/>
      <c r="AB34" s="69">
        <f t="shared" si="13"/>
        <v>108.63248443499822</v>
      </c>
      <c r="AC34" s="69"/>
      <c r="AD34" s="69">
        <f t="shared" si="4"/>
        <v>107.82131192348564</v>
      </c>
      <c r="AE34" s="69"/>
    </row>
    <row r="35" spans="1:31" s="16" customFormat="1" ht="24.75" customHeight="1" x14ac:dyDescent="0.25">
      <c r="A35" s="70" t="s">
        <v>298</v>
      </c>
      <c r="B35" s="72" t="s">
        <v>524</v>
      </c>
      <c r="C35" s="67">
        <f t="shared" si="9"/>
        <v>4814</v>
      </c>
      <c r="D35" s="67"/>
      <c r="E35" s="67">
        <f t="shared" si="10"/>
        <v>4814</v>
      </c>
      <c r="F35" s="67">
        <v>4814</v>
      </c>
      <c r="G35" s="67"/>
      <c r="H35" s="67"/>
      <c r="I35" s="67"/>
      <c r="J35" s="67"/>
      <c r="K35" s="67">
        <f t="shared" si="7"/>
        <v>0</v>
      </c>
      <c r="L35" s="67"/>
      <c r="M35" s="67"/>
      <c r="N35" s="67">
        <f t="shared" si="12"/>
        <v>4474.28</v>
      </c>
      <c r="O35" s="67"/>
      <c r="P35" s="68">
        <f t="shared" si="11"/>
        <v>4474.28</v>
      </c>
      <c r="Q35" s="67">
        <v>4474.28</v>
      </c>
      <c r="R35" s="67"/>
      <c r="S35" s="67"/>
      <c r="T35" s="67"/>
      <c r="U35" s="67">
        <f t="shared" si="8"/>
        <v>0</v>
      </c>
      <c r="V35" s="67"/>
      <c r="W35" s="67"/>
      <c r="X35" s="67"/>
      <c r="Y35" s="67"/>
      <c r="Z35" s="67"/>
      <c r="AA35" s="67"/>
      <c r="AB35" s="69">
        <f t="shared" si="13"/>
        <v>92.943082675529695</v>
      </c>
      <c r="AC35" s="69"/>
      <c r="AD35" s="69">
        <f t="shared" si="4"/>
        <v>92.943082675529695</v>
      </c>
      <c r="AE35" s="69"/>
    </row>
    <row r="36" spans="1:31" s="16" customFormat="1" ht="24.75" customHeight="1" x14ac:dyDescent="0.25">
      <c r="A36" s="65" t="s">
        <v>299</v>
      </c>
      <c r="B36" s="72" t="s">
        <v>300</v>
      </c>
      <c r="C36" s="67">
        <f t="shared" si="9"/>
        <v>317719</v>
      </c>
      <c r="D36" s="67">
        <v>305530</v>
      </c>
      <c r="E36" s="67">
        <f t="shared" si="10"/>
        <v>12189</v>
      </c>
      <c r="F36" s="67">
        <v>12189</v>
      </c>
      <c r="G36" s="67"/>
      <c r="H36" s="67"/>
      <c r="I36" s="67"/>
      <c r="J36" s="67"/>
      <c r="K36" s="67">
        <f t="shared" si="7"/>
        <v>0</v>
      </c>
      <c r="L36" s="67"/>
      <c r="M36" s="67"/>
      <c r="N36" s="67">
        <f t="shared" si="12"/>
        <v>121327.26835</v>
      </c>
      <c r="O36" s="67">
        <v>110820.520492</v>
      </c>
      <c r="P36" s="68">
        <f t="shared" si="11"/>
        <v>10506.747857999999</v>
      </c>
      <c r="Q36" s="67">
        <f>8364.201038+2142.54682</f>
        <v>10506.747857999999</v>
      </c>
      <c r="R36" s="67"/>
      <c r="S36" s="67"/>
      <c r="T36" s="67"/>
      <c r="U36" s="67"/>
      <c r="V36" s="67"/>
      <c r="W36" s="67"/>
      <c r="X36" s="67"/>
      <c r="Y36" s="67"/>
      <c r="Z36" s="67"/>
      <c r="AA36" s="67"/>
      <c r="AB36" s="69">
        <f t="shared" si="13"/>
        <v>38.186972875402475</v>
      </c>
      <c r="AC36" s="69">
        <f t="shared" si="13"/>
        <v>36.271567601217555</v>
      </c>
      <c r="AD36" s="69">
        <f t="shared" si="4"/>
        <v>86.198604134875694</v>
      </c>
      <c r="AE36" s="69"/>
    </row>
    <row r="37" spans="1:31" s="16" customFormat="1" ht="24.75" customHeight="1" x14ac:dyDescent="0.25">
      <c r="A37" s="70" t="s">
        <v>301</v>
      </c>
      <c r="B37" s="72" t="s">
        <v>302</v>
      </c>
      <c r="C37" s="67">
        <f t="shared" si="9"/>
        <v>9876</v>
      </c>
      <c r="D37" s="67"/>
      <c r="E37" s="67">
        <f t="shared" si="10"/>
        <v>9876</v>
      </c>
      <c r="F37" s="67">
        <v>9876</v>
      </c>
      <c r="G37" s="67"/>
      <c r="H37" s="67"/>
      <c r="I37" s="67"/>
      <c r="J37" s="67"/>
      <c r="K37" s="67">
        <f t="shared" si="7"/>
        <v>0</v>
      </c>
      <c r="L37" s="67"/>
      <c r="M37" s="67"/>
      <c r="N37" s="67">
        <f t="shared" si="12"/>
        <v>13320.503273</v>
      </c>
      <c r="O37" s="67">
        <v>2488.8739999999998</v>
      </c>
      <c r="P37" s="68">
        <f t="shared" si="11"/>
        <v>10831.629273</v>
      </c>
      <c r="Q37" s="67">
        <v>10831.629273</v>
      </c>
      <c r="R37" s="67"/>
      <c r="S37" s="67"/>
      <c r="T37" s="67"/>
      <c r="U37" s="67">
        <f>V37+W37</f>
        <v>0</v>
      </c>
      <c r="V37" s="67"/>
      <c r="W37" s="67"/>
      <c r="X37" s="67"/>
      <c r="Y37" s="67"/>
      <c r="Z37" s="67"/>
      <c r="AA37" s="67"/>
      <c r="AB37" s="69">
        <f t="shared" si="13"/>
        <v>134.87751390238964</v>
      </c>
      <c r="AC37" s="69"/>
      <c r="AD37" s="69">
        <f t="shared" si="4"/>
        <v>109.67627858444715</v>
      </c>
      <c r="AE37" s="69"/>
    </row>
    <row r="38" spans="1:31" s="16" customFormat="1" ht="24.75" customHeight="1" x14ac:dyDescent="0.25">
      <c r="A38" s="65" t="s">
        <v>303</v>
      </c>
      <c r="B38" s="72" t="s">
        <v>304</v>
      </c>
      <c r="C38" s="67">
        <f t="shared" si="9"/>
        <v>29340</v>
      </c>
      <c r="D38" s="67">
        <v>250</v>
      </c>
      <c r="E38" s="67">
        <f t="shared" si="10"/>
        <v>29090</v>
      </c>
      <c r="F38" s="67">
        <v>29090</v>
      </c>
      <c r="G38" s="67"/>
      <c r="H38" s="67"/>
      <c r="I38" s="67"/>
      <c r="J38" s="67"/>
      <c r="K38" s="67">
        <f t="shared" si="7"/>
        <v>0</v>
      </c>
      <c r="L38" s="67"/>
      <c r="M38" s="67"/>
      <c r="N38" s="67">
        <f t="shared" si="12"/>
        <v>27409.481526</v>
      </c>
      <c r="O38" s="67">
        <v>981.59288500000014</v>
      </c>
      <c r="P38" s="68">
        <f t="shared" si="11"/>
        <v>26427.888640999998</v>
      </c>
      <c r="Q38" s="67">
        <f>22051.622743+4376.265898</f>
        <v>26427.888640999998</v>
      </c>
      <c r="R38" s="67"/>
      <c r="S38" s="67"/>
      <c r="T38" s="67"/>
      <c r="U38" s="67">
        <f>V38+W38</f>
        <v>0</v>
      </c>
      <c r="V38" s="67"/>
      <c r="W38" s="67"/>
      <c r="X38" s="67"/>
      <c r="Y38" s="67"/>
      <c r="Z38" s="67"/>
      <c r="AA38" s="67"/>
      <c r="AB38" s="69">
        <f t="shared" si="13"/>
        <v>93.420182433537832</v>
      </c>
      <c r="AC38" s="69">
        <f t="shared" si="13"/>
        <v>392.63715400000007</v>
      </c>
      <c r="AD38" s="69">
        <f t="shared" si="4"/>
        <v>90.848706225507044</v>
      </c>
      <c r="AE38" s="69"/>
    </row>
    <row r="39" spans="1:31" s="16" customFormat="1" ht="24.75" customHeight="1" x14ac:dyDescent="0.25">
      <c r="A39" s="70" t="s">
        <v>305</v>
      </c>
      <c r="B39" s="72" t="s">
        <v>306</v>
      </c>
      <c r="C39" s="67">
        <f t="shared" si="9"/>
        <v>2581</v>
      </c>
      <c r="D39" s="67"/>
      <c r="E39" s="67">
        <f t="shared" si="10"/>
        <v>2581</v>
      </c>
      <c r="F39" s="67">
        <v>2581</v>
      </c>
      <c r="G39" s="67"/>
      <c r="H39" s="67"/>
      <c r="I39" s="67"/>
      <c r="J39" s="67"/>
      <c r="K39" s="67">
        <f t="shared" si="7"/>
        <v>0</v>
      </c>
      <c r="L39" s="67"/>
      <c r="M39" s="67"/>
      <c r="N39" s="67">
        <f t="shared" si="12"/>
        <v>2374.2112120000002</v>
      </c>
      <c r="O39" s="67"/>
      <c r="P39" s="68">
        <f t="shared" si="11"/>
        <v>2374.2112120000002</v>
      </c>
      <c r="Q39" s="67">
        <v>2374.2112120000002</v>
      </c>
      <c r="R39" s="67"/>
      <c r="S39" s="67"/>
      <c r="T39" s="67"/>
      <c r="U39" s="67">
        <f>V39+W39</f>
        <v>0</v>
      </c>
      <c r="V39" s="67"/>
      <c r="W39" s="67"/>
      <c r="X39" s="67"/>
      <c r="Y39" s="67"/>
      <c r="Z39" s="67"/>
      <c r="AA39" s="67"/>
      <c r="AB39" s="69">
        <f t="shared" si="13"/>
        <v>91.988036110034884</v>
      </c>
      <c r="AC39" s="69"/>
      <c r="AD39" s="69">
        <f t="shared" si="4"/>
        <v>91.988036110034884</v>
      </c>
      <c r="AE39" s="69"/>
    </row>
    <row r="40" spans="1:31" s="16" customFormat="1" ht="24.75" customHeight="1" x14ac:dyDescent="0.25">
      <c r="A40" s="65" t="s">
        <v>307</v>
      </c>
      <c r="B40" s="72" t="s">
        <v>308</v>
      </c>
      <c r="C40" s="67">
        <f t="shared" si="9"/>
        <v>4505</v>
      </c>
      <c r="D40" s="67"/>
      <c r="E40" s="67">
        <f t="shared" si="10"/>
        <v>4505</v>
      </c>
      <c r="F40" s="67">
        <v>4505</v>
      </c>
      <c r="G40" s="67"/>
      <c r="H40" s="67"/>
      <c r="I40" s="67"/>
      <c r="J40" s="67"/>
      <c r="K40" s="67">
        <f t="shared" si="7"/>
        <v>0</v>
      </c>
      <c r="L40" s="67"/>
      <c r="M40" s="67"/>
      <c r="N40" s="67">
        <f t="shared" si="12"/>
        <v>4865.0263269999996</v>
      </c>
      <c r="O40" s="67"/>
      <c r="P40" s="68">
        <f t="shared" si="11"/>
        <v>4865.0263269999996</v>
      </c>
      <c r="Q40" s="67">
        <f>3693.54427+171.482057</f>
        <v>3865.026327</v>
      </c>
      <c r="R40" s="67">
        <v>1000</v>
      </c>
      <c r="S40" s="67"/>
      <c r="T40" s="67"/>
      <c r="U40" s="67">
        <f t="shared" ref="U40:U90" si="14">V40+W40</f>
        <v>0</v>
      </c>
      <c r="V40" s="67"/>
      <c r="W40" s="67"/>
      <c r="X40" s="67"/>
      <c r="Y40" s="67"/>
      <c r="Z40" s="67"/>
      <c r="AA40" s="67"/>
      <c r="AB40" s="69">
        <f t="shared" si="13"/>
        <v>107.9917053718091</v>
      </c>
      <c r="AC40" s="69"/>
      <c r="AD40" s="69">
        <f t="shared" si="4"/>
        <v>107.9917053718091</v>
      </c>
      <c r="AE40" s="69"/>
    </row>
    <row r="41" spans="1:31" s="16" customFormat="1" ht="24.75" customHeight="1" x14ac:dyDescent="0.25">
      <c r="A41" s="70" t="s">
        <v>309</v>
      </c>
      <c r="B41" s="72" t="s">
        <v>310</v>
      </c>
      <c r="C41" s="67">
        <f t="shared" si="9"/>
        <v>7723</v>
      </c>
      <c r="D41" s="67"/>
      <c r="E41" s="67">
        <f t="shared" si="10"/>
        <v>7723</v>
      </c>
      <c r="F41" s="67">
        <v>7685</v>
      </c>
      <c r="G41" s="67"/>
      <c r="H41" s="67">
        <v>38</v>
      </c>
      <c r="I41" s="67"/>
      <c r="J41" s="67"/>
      <c r="K41" s="67">
        <f t="shared" si="7"/>
        <v>0</v>
      </c>
      <c r="L41" s="67"/>
      <c r="M41" s="67"/>
      <c r="N41" s="67">
        <f t="shared" si="12"/>
        <v>8151.0581949999996</v>
      </c>
      <c r="O41" s="67"/>
      <c r="P41" s="68">
        <f t="shared" si="11"/>
        <v>8151.0581949999996</v>
      </c>
      <c r="Q41" s="67">
        <f>8151.058195</f>
        <v>8151.0581949999996</v>
      </c>
      <c r="R41" s="67"/>
      <c r="S41" s="67"/>
      <c r="T41" s="67"/>
      <c r="U41" s="67">
        <f t="shared" si="14"/>
        <v>0</v>
      </c>
      <c r="V41" s="67"/>
      <c r="W41" s="67"/>
      <c r="X41" s="67"/>
      <c r="Y41" s="67"/>
      <c r="Z41" s="67"/>
      <c r="AA41" s="67"/>
      <c r="AB41" s="69">
        <f t="shared" si="13"/>
        <v>105.54264139583063</v>
      </c>
      <c r="AC41" s="69"/>
      <c r="AD41" s="69">
        <f t="shared" si="4"/>
        <v>105.54264139583063</v>
      </c>
      <c r="AE41" s="69"/>
    </row>
    <row r="42" spans="1:31" s="16" customFormat="1" ht="24.75" customHeight="1" x14ac:dyDescent="0.25">
      <c r="A42" s="65" t="s">
        <v>311</v>
      </c>
      <c r="B42" s="72" t="s">
        <v>312</v>
      </c>
      <c r="C42" s="67">
        <f t="shared" si="9"/>
        <v>6532</v>
      </c>
      <c r="D42" s="67"/>
      <c r="E42" s="67">
        <f t="shared" si="10"/>
        <v>6532</v>
      </c>
      <c r="F42" s="67">
        <v>6365</v>
      </c>
      <c r="G42" s="67"/>
      <c r="H42" s="67">
        <v>167</v>
      </c>
      <c r="I42" s="67"/>
      <c r="J42" s="67"/>
      <c r="K42" s="67">
        <f t="shared" si="7"/>
        <v>0</v>
      </c>
      <c r="L42" s="67"/>
      <c r="M42" s="67"/>
      <c r="N42" s="67">
        <f t="shared" si="12"/>
        <v>6451.7469970000002</v>
      </c>
      <c r="O42" s="67"/>
      <c r="P42" s="68">
        <f t="shared" si="11"/>
        <v>6451.7469970000002</v>
      </c>
      <c r="Q42" s="67">
        <v>6451.7469970000002</v>
      </c>
      <c r="R42" s="67"/>
      <c r="S42" s="67"/>
      <c r="T42" s="67"/>
      <c r="U42" s="67">
        <f t="shared" si="14"/>
        <v>0</v>
      </c>
      <c r="V42" s="67"/>
      <c r="W42" s="67"/>
      <c r="X42" s="67"/>
      <c r="Y42" s="67"/>
      <c r="Z42" s="67"/>
      <c r="AA42" s="67"/>
      <c r="AB42" s="69">
        <f t="shared" si="13"/>
        <v>98.771386971830992</v>
      </c>
      <c r="AC42" s="69"/>
      <c r="AD42" s="69">
        <f t="shared" si="4"/>
        <v>98.771386971830992</v>
      </c>
      <c r="AE42" s="69"/>
    </row>
    <row r="43" spans="1:31" s="220" customFormat="1" ht="24.75" customHeight="1" x14ac:dyDescent="0.25">
      <c r="A43" s="216" t="s">
        <v>313</v>
      </c>
      <c r="B43" s="217" t="s">
        <v>314</v>
      </c>
      <c r="C43" s="218">
        <f t="shared" si="9"/>
        <v>77780</v>
      </c>
      <c r="D43" s="218">
        <v>200</v>
      </c>
      <c r="E43" s="218">
        <f t="shared" si="10"/>
        <v>77580</v>
      </c>
      <c r="F43" s="218">
        <f>12479+32822+20200</f>
        <v>65501</v>
      </c>
      <c r="G43" s="218"/>
      <c r="H43" s="218">
        <f>300+6706+40+33+5000</f>
        <v>12079</v>
      </c>
      <c r="I43" s="218"/>
      <c r="J43" s="218"/>
      <c r="K43" s="218">
        <f t="shared" si="7"/>
        <v>0</v>
      </c>
      <c r="L43" s="218"/>
      <c r="M43" s="218"/>
      <c r="N43" s="218">
        <f t="shared" si="12"/>
        <v>227690.94387999998</v>
      </c>
      <c r="O43" s="218">
        <v>131443.03610699999</v>
      </c>
      <c r="P43" s="221">
        <f t="shared" si="11"/>
        <v>96247.907772999999</v>
      </c>
      <c r="Q43" s="218">
        <f>25483+70764.907773</f>
        <v>96247.907772999999</v>
      </c>
      <c r="R43" s="218"/>
      <c r="S43" s="218"/>
      <c r="T43" s="218"/>
      <c r="U43" s="218">
        <f t="shared" si="14"/>
        <v>0</v>
      </c>
      <c r="V43" s="218"/>
      <c r="W43" s="218"/>
      <c r="X43" s="218"/>
      <c r="Y43" s="218"/>
      <c r="Z43" s="218"/>
      <c r="AA43" s="218"/>
      <c r="AB43" s="219">
        <f t="shared" si="13"/>
        <v>292.73713535613268</v>
      </c>
      <c r="AC43" s="219">
        <f t="shared" si="13"/>
        <v>65721.518053499996</v>
      </c>
      <c r="AD43" s="219">
        <f t="shared" si="4"/>
        <v>124.06278393013663</v>
      </c>
      <c r="AE43" s="219"/>
    </row>
    <row r="44" spans="1:31" s="16" customFormat="1" ht="24.75" customHeight="1" x14ac:dyDescent="0.25">
      <c r="A44" s="65" t="s">
        <v>315</v>
      </c>
      <c r="B44" s="72" t="s">
        <v>525</v>
      </c>
      <c r="C44" s="67">
        <f t="shared" si="9"/>
        <v>37006.324000000001</v>
      </c>
      <c r="D44" s="67">
        <v>301.32400000000001</v>
      </c>
      <c r="E44" s="67">
        <f t="shared" si="10"/>
        <v>36705</v>
      </c>
      <c r="F44" s="67">
        <v>32570</v>
      </c>
      <c r="G44" s="67"/>
      <c r="H44" s="67">
        <f>1274+92+2769</f>
        <v>4135</v>
      </c>
      <c r="I44" s="67"/>
      <c r="J44" s="67"/>
      <c r="K44" s="67">
        <f t="shared" si="7"/>
        <v>0</v>
      </c>
      <c r="L44" s="67"/>
      <c r="M44" s="67"/>
      <c r="N44" s="67">
        <f t="shared" si="12"/>
        <v>38634.062796999999</v>
      </c>
      <c r="O44" s="67">
        <v>95.323999999999998</v>
      </c>
      <c r="P44" s="68">
        <f t="shared" si="11"/>
        <v>38538.738796999998</v>
      </c>
      <c r="Q44" s="67">
        <v>38538.738796999998</v>
      </c>
      <c r="R44" s="67"/>
      <c r="S44" s="67"/>
      <c r="T44" s="67"/>
      <c r="U44" s="67">
        <f t="shared" si="14"/>
        <v>0</v>
      </c>
      <c r="V44" s="67"/>
      <c r="W44" s="67"/>
      <c r="X44" s="67"/>
      <c r="Y44" s="67"/>
      <c r="Z44" s="67"/>
      <c r="AA44" s="67"/>
      <c r="AB44" s="69">
        <f t="shared" si="13"/>
        <v>104.39854225185944</v>
      </c>
      <c r="AC44" s="69">
        <f t="shared" si="13"/>
        <v>31.635050643161513</v>
      </c>
      <c r="AD44" s="69">
        <f t="shared" si="4"/>
        <v>104.99588284157471</v>
      </c>
      <c r="AE44" s="69"/>
    </row>
    <row r="45" spans="1:31" s="16" customFormat="1" ht="24.75" customHeight="1" x14ac:dyDescent="0.25">
      <c r="A45" s="65" t="s">
        <v>316</v>
      </c>
      <c r="B45" s="72" t="s">
        <v>526</v>
      </c>
      <c r="C45" s="67">
        <f t="shared" si="9"/>
        <v>685</v>
      </c>
      <c r="D45" s="67"/>
      <c r="E45" s="67">
        <f t="shared" si="10"/>
        <v>685</v>
      </c>
      <c r="F45" s="67">
        <v>685</v>
      </c>
      <c r="G45" s="67"/>
      <c r="H45" s="67"/>
      <c r="I45" s="67"/>
      <c r="J45" s="67"/>
      <c r="K45" s="67">
        <f t="shared" si="7"/>
        <v>0</v>
      </c>
      <c r="L45" s="67"/>
      <c r="M45" s="67"/>
      <c r="N45" s="67">
        <f t="shared" si="12"/>
        <v>562</v>
      </c>
      <c r="O45" s="67"/>
      <c r="P45" s="68">
        <f t="shared" si="11"/>
        <v>562</v>
      </c>
      <c r="Q45" s="67">
        <v>562</v>
      </c>
      <c r="R45" s="67"/>
      <c r="S45" s="67"/>
      <c r="T45" s="67"/>
      <c r="U45" s="67">
        <f t="shared" si="14"/>
        <v>0</v>
      </c>
      <c r="V45" s="67"/>
      <c r="W45" s="67"/>
      <c r="X45" s="67"/>
      <c r="Y45" s="67"/>
      <c r="Z45" s="67"/>
      <c r="AA45" s="67"/>
      <c r="AB45" s="69">
        <f t="shared" si="13"/>
        <v>82.043795620437962</v>
      </c>
      <c r="AC45" s="69"/>
      <c r="AD45" s="69">
        <f t="shared" si="4"/>
        <v>82.043795620437962</v>
      </c>
      <c r="AE45" s="69"/>
    </row>
    <row r="46" spans="1:31" s="16" customFormat="1" ht="33.75" customHeight="1" x14ac:dyDescent="0.25">
      <c r="A46" s="65" t="s">
        <v>318</v>
      </c>
      <c r="B46" s="72" t="s">
        <v>317</v>
      </c>
      <c r="C46" s="67">
        <f t="shared" si="9"/>
        <v>436</v>
      </c>
      <c r="D46" s="67"/>
      <c r="E46" s="67">
        <f t="shared" si="10"/>
        <v>436</v>
      </c>
      <c r="F46" s="67">
        <v>436</v>
      </c>
      <c r="G46" s="67"/>
      <c r="H46" s="67"/>
      <c r="I46" s="67"/>
      <c r="J46" s="67"/>
      <c r="K46" s="67">
        <f t="shared" si="7"/>
        <v>0</v>
      </c>
      <c r="L46" s="67"/>
      <c r="M46" s="67"/>
      <c r="N46" s="67">
        <f t="shared" si="12"/>
        <v>438.05399999999997</v>
      </c>
      <c r="O46" s="67"/>
      <c r="P46" s="68">
        <f t="shared" si="11"/>
        <v>438.05399999999997</v>
      </c>
      <c r="Q46" s="67">
        <v>438.05399999999997</v>
      </c>
      <c r="R46" s="67"/>
      <c r="S46" s="67"/>
      <c r="T46" s="67"/>
      <c r="U46" s="67">
        <f t="shared" si="14"/>
        <v>0</v>
      </c>
      <c r="V46" s="67"/>
      <c r="W46" s="67"/>
      <c r="X46" s="67"/>
      <c r="Y46" s="67"/>
      <c r="Z46" s="67"/>
      <c r="AA46" s="67"/>
      <c r="AB46" s="69">
        <f t="shared" si="13"/>
        <v>100.47110091743117</v>
      </c>
      <c r="AC46" s="69"/>
      <c r="AD46" s="69">
        <f t="shared" si="4"/>
        <v>100.47110091743117</v>
      </c>
      <c r="AE46" s="69"/>
    </row>
    <row r="47" spans="1:31" s="16" customFormat="1" ht="24.75" customHeight="1" x14ac:dyDescent="0.25">
      <c r="A47" s="65" t="s">
        <v>320</v>
      </c>
      <c r="B47" s="72" t="s">
        <v>319</v>
      </c>
      <c r="C47" s="67">
        <f t="shared" si="9"/>
        <v>526</v>
      </c>
      <c r="D47" s="67"/>
      <c r="E47" s="67">
        <f t="shared" si="10"/>
        <v>526</v>
      </c>
      <c r="F47" s="67">
        <v>526</v>
      </c>
      <c r="G47" s="67"/>
      <c r="H47" s="67"/>
      <c r="I47" s="67"/>
      <c r="J47" s="67"/>
      <c r="K47" s="67">
        <f t="shared" si="7"/>
        <v>0</v>
      </c>
      <c r="L47" s="67"/>
      <c r="M47" s="67"/>
      <c r="N47" s="67">
        <f t="shared" si="12"/>
        <v>466.00128100000001</v>
      </c>
      <c r="O47" s="67"/>
      <c r="P47" s="68">
        <f t="shared" si="11"/>
        <v>466.00128100000001</v>
      </c>
      <c r="Q47" s="67">
        <v>466.00128100000001</v>
      </c>
      <c r="R47" s="67"/>
      <c r="S47" s="67"/>
      <c r="T47" s="67"/>
      <c r="U47" s="67">
        <f t="shared" si="14"/>
        <v>0</v>
      </c>
      <c r="V47" s="67"/>
      <c r="W47" s="67"/>
      <c r="X47" s="67"/>
      <c r="Y47" s="67"/>
      <c r="Z47" s="67"/>
      <c r="AA47" s="67"/>
      <c r="AB47" s="69">
        <f t="shared" si="13"/>
        <v>88.593399429657794</v>
      </c>
      <c r="AC47" s="69"/>
      <c r="AD47" s="69">
        <f t="shared" si="4"/>
        <v>88.593399429657794</v>
      </c>
      <c r="AE47" s="69"/>
    </row>
    <row r="48" spans="1:31" s="16" customFormat="1" ht="24.75" customHeight="1" x14ac:dyDescent="0.25">
      <c r="A48" s="65" t="s">
        <v>322</v>
      </c>
      <c r="B48" s="72" t="s">
        <v>321</v>
      </c>
      <c r="C48" s="67">
        <f t="shared" si="9"/>
        <v>345</v>
      </c>
      <c r="D48" s="67"/>
      <c r="E48" s="67">
        <f t="shared" si="10"/>
        <v>345</v>
      </c>
      <c r="F48" s="67">
        <v>345</v>
      </c>
      <c r="G48" s="67"/>
      <c r="H48" s="67"/>
      <c r="I48" s="67"/>
      <c r="J48" s="67"/>
      <c r="K48" s="67">
        <f t="shared" si="7"/>
        <v>0</v>
      </c>
      <c r="L48" s="67"/>
      <c r="M48" s="67"/>
      <c r="N48" s="67">
        <f t="shared" si="12"/>
        <v>377</v>
      </c>
      <c r="O48" s="67"/>
      <c r="P48" s="68">
        <f t="shared" si="11"/>
        <v>377</v>
      </c>
      <c r="Q48" s="67">
        <v>377</v>
      </c>
      <c r="R48" s="67"/>
      <c r="S48" s="67"/>
      <c r="T48" s="67"/>
      <c r="U48" s="67">
        <f t="shared" si="14"/>
        <v>0</v>
      </c>
      <c r="V48" s="67"/>
      <c r="W48" s="67"/>
      <c r="X48" s="67"/>
      <c r="Y48" s="67"/>
      <c r="Z48" s="67"/>
      <c r="AA48" s="67"/>
      <c r="AB48" s="69">
        <f t="shared" si="13"/>
        <v>109.27536231884058</v>
      </c>
      <c r="AC48" s="69"/>
      <c r="AD48" s="69">
        <f t="shared" si="4"/>
        <v>109.27536231884058</v>
      </c>
      <c r="AE48" s="69"/>
    </row>
    <row r="49" spans="1:31" s="16" customFormat="1" ht="24.75" customHeight="1" x14ac:dyDescent="0.25">
      <c r="A49" s="65" t="s">
        <v>324</v>
      </c>
      <c r="B49" s="72" t="s">
        <v>323</v>
      </c>
      <c r="C49" s="67">
        <f t="shared" si="9"/>
        <v>90</v>
      </c>
      <c r="D49" s="67"/>
      <c r="E49" s="67">
        <f t="shared" si="10"/>
        <v>90</v>
      </c>
      <c r="F49" s="67">
        <v>90</v>
      </c>
      <c r="G49" s="67"/>
      <c r="H49" s="67"/>
      <c r="I49" s="67"/>
      <c r="J49" s="67"/>
      <c r="K49" s="67">
        <f t="shared" si="7"/>
        <v>0</v>
      </c>
      <c r="L49" s="67"/>
      <c r="M49" s="67"/>
      <c r="N49" s="67">
        <f t="shared" si="12"/>
        <v>81</v>
      </c>
      <c r="O49" s="67"/>
      <c r="P49" s="68">
        <f t="shared" si="11"/>
        <v>81</v>
      </c>
      <c r="Q49" s="67">
        <v>81</v>
      </c>
      <c r="R49" s="67"/>
      <c r="S49" s="67"/>
      <c r="T49" s="67"/>
      <c r="U49" s="67">
        <f t="shared" si="14"/>
        <v>0</v>
      </c>
      <c r="V49" s="67"/>
      <c r="W49" s="67"/>
      <c r="X49" s="67"/>
      <c r="Y49" s="67"/>
      <c r="Z49" s="67"/>
      <c r="AA49" s="67"/>
      <c r="AB49" s="69">
        <f t="shared" si="13"/>
        <v>90</v>
      </c>
      <c r="AC49" s="69"/>
      <c r="AD49" s="69">
        <f t="shared" si="4"/>
        <v>90</v>
      </c>
      <c r="AE49" s="69"/>
    </row>
    <row r="50" spans="1:31" s="16" customFormat="1" ht="24.75" customHeight="1" x14ac:dyDescent="0.25">
      <c r="A50" s="65" t="s">
        <v>326</v>
      </c>
      <c r="B50" s="72" t="s">
        <v>325</v>
      </c>
      <c r="C50" s="67">
        <f t="shared" si="9"/>
        <v>898</v>
      </c>
      <c r="D50" s="67"/>
      <c r="E50" s="67">
        <f t="shared" si="10"/>
        <v>898</v>
      </c>
      <c r="F50" s="67">
        <v>898</v>
      </c>
      <c r="G50" s="67"/>
      <c r="H50" s="67"/>
      <c r="I50" s="67"/>
      <c r="J50" s="67"/>
      <c r="K50" s="67">
        <f t="shared" si="7"/>
        <v>0</v>
      </c>
      <c r="L50" s="67"/>
      <c r="M50" s="67"/>
      <c r="N50" s="67">
        <f t="shared" si="12"/>
        <v>639.33696999999995</v>
      </c>
      <c r="O50" s="67"/>
      <c r="P50" s="68">
        <f t="shared" si="11"/>
        <v>639.33696999999995</v>
      </c>
      <c r="Q50" s="67">
        <v>639.33696999999995</v>
      </c>
      <c r="R50" s="67"/>
      <c r="S50" s="67"/>
      <c r="T50" s="67"/>
      <c r="U50" s="67">
        <f t="shared" si="14"/>
        <v>0</v>
      </c>
      <c r="V50" s="67"/>
      <c r="W50" s="67"/>
      <c r="X50" s="67"/>
      <c r="Y50" s="67"/>
      <c r="Z50" s="67"/>
      <c r="AA50" s="67"/>
      <c r="AB50" s="69">
        <f t="shared" si="13"/>
        <v>71.195653674832954</v>
      </c>
      <c r="AC50" s="69"/>
      <c r="AD50" s="69">
        <f t="shared" si="4"/>
        <v>71.195653674832954</v>
      </c>
      <c r="AE50" s="69"/>
    </row>
    <row r="51" spans="1:31" s="16" customFormat="1" ht="34.5" customHeight="1" x14ac:dyDescent="0.25">
      <c r="A51" s="65" t="s">
        <v>328</v>
      </c>
      <c r="B51" s="72" t="s">
        <v>327</v>
      </c>
      <c r="C51" s="67">
        <f t="shared" si="9"/>
        <v>1745</v>
      </c>
      <c r="D51" s="67"/>
      <c r="E51" s="67">
        <f t="shared" si="10"/>
        <v>1745</v>
      </c>
      <c r="F51" s="67">
        <v>1745</v>
      </c>
      <c r="G51" s="67"/>
      <c r="H51" s="67"/>
      <c r="I51" s="67"/>
      <c r="J51" s="67"/>
      <c r="K51" s="67">
        <f t="shared" si="7"/>
        <v>0</v>
      </c>
      <c r="L51" s="67"/>
      <c r="M51" s="67"/>
      <c r="N51" s="67">
        <f t="shared" si="12"/>
        <v>1715.684825</v>
      </c>
      <c r="O51" s="67"/>
      <c r="P51" s="68">
        <f t="shared" si="11"/>
        <v>1715.684825</v>
      </c>
      <c r="Q51" s="67">
        <v>1715.684825</v>
      </c>
      <c r="R51" s="67"/>
      <c r="S51" s="67"/>
      <c r="T51" s="67"/>
      <c r="U51" s="67">
        <f t="shared" si="14"/>
        <v>0</v>
      </c>
      <c r="V51" s="67"/>
      <c r="W51" s="67"/>
      <c r="X51" s="67"/>
      <c r="Y51" s="67"/>
      <c r="Z51" s="67"/>
      <c r="AA51" s="67"/>
      <c r="AB51" s="69">
        <f t="shared" si="13"/>
        <v>98.320047277936965</v>
      </c>
      <c r="AC51" s="69"/>
      <c r="AD51" s="69">
        <f t="shared" si="4"/>
        <v>98.320047277936965</v>
      </c>
      <c r="AE51" s="69"/>
    </row>
    <row r="52" spans="1:31" s="16" customFormat="1" ht="24.75" customHeight="1" x14ac:dyDescent="0.25">
      <c r="A52" s="65" t="s">
        <v>330</v>
      </c>
      <c r="B52" s="72" t="s">
        <v>329</v>
      </c>
      <c r="C52" s="67">
        <f t="shared" si="9"/>
        <v>322</v>
      </c>
      <c r="D52" s="67"/>
      <c r="E52" s="67">
        <f t="shared" si="10"/>
        <v>322</v>
      </c>
      <c r="F52" s="67">
        <v>322</v>
      </c>
      <c r="G52" s="67"/>
      <c r="H52" s="67"/>
      <c r="I52" s="67"/>
      <c r="J52" s="67"/>
      <c r="K52" s="67">
        <f t="shared" si="7"/>
        <v>0</v>
      </c>
      <c r="L52" s="67"/>
      <c r="M52" s="67"/>
      <c r="N52" s="67">
        <f t="shared" si="12"/>
        <v>299</v>
      </c>
      <c r="O52" s="67"/>
      <c r="P52" s="68">
        <f t="shared" si="11"/>
        <v>299</v>
      </c>
      <c r="Q52" s="67">
        <v>299</v>
      </c>
      <c r="R52" s="67"/>
      <c r="S52" s="67"/>
      <c r="T52" s="67"/>
      <c r="U52" s="67">
        <f t="shared" si="14"/>
        <v>0</v>
      </c>
      <c r="V52" s="67"/>
      <c r="W52" s="67"/>
      <c r="X52" s="67"/>
      <c r="Y52" s="67"/>
      <c r="Z52" s="67"/>
      <c r="AA52" s="67"/>
      <c r="AB52" s="69">
        <f t="shared" si="13"/>
        <v>92.857142857142847</v>
      </c>
      <c r="AC52" s="69"/>
      <c r="AD52" s="69">
        <f t="shared" si="4"/>
        <v>92.857142857142847</v>
      </c>
      <c r="AE52" s="69"/>
    </row>
    <row r="53" spans="1:31" s="16" customFormat="1" ht="24.75" customHeight="1" x14ac:dyDescent="0.25">
      <c r="A53" s="65" t="s">
        <v>332</v>
      </c>
      <c r="B53" s="72" t="s">
        <v>331</v>
      </c>
      <c r="C53" s="67">
        <f t="shared" si="9"/>
        <v>1291</v>
      </c>
      <c r="D53" s="67"/>
      <c r="E53" s="67">
        <f t="shared" si="10"/>
        <v>1291</v>
      </c>
      <c r="F53" s="67">
        <v>1291</v>
      </c>
      <c r="G53" s="67"/>
      <c r="H53" s="67"/>
      <c r="I53" s="67"/>
      <c r="J53" s="67"/>
      <c r="K53" s="67">
        <f t="shared" si="7"/>
        <v>0</v>
      </c>
      <c r="L53" s="67"/>
      <c r="M53" s="67"/>
      <c r="N53" s="67">
        <f t="shared" si="12"/>
        <v>1020.065339</v>
      </c>
      <c r="O53" s="67"/>
      <c r="P53" s="68">
        <f t="shared" si="11"/>
        <v>1020.065339</v>
      </c>
      <c r="Q53" s="67">
        <v>1020.065339</v>
      </c>
      <c r="R53" s="67"/>
      <c r="S53" s="67"/>
      <c r="T53" s="67"/>
      <c r="U53" s="67">
        <f t="shared" si="14"/>
        <v>0</v>
      </c>
      <c r="V53" s="67"/>
      <c r="W53" s="67"/>
      <c r="X53" s="67"/>
      <c r="Y53" s="67"/>
      <c r="Z53" s="67"/>
      <c r="AA53" s="67"/>
      <c r="AB53" s="69">
        <f t="shared" si="13"/>
        <v>79.013581642137879</v>
      </c>
      <c r="AC53" s="69"/>
      <c r="AD53" s="69">
        <f t="shared" si="4"/>
        <v>79.013581642137879</v>
      </c>
      <c r="AE53" s="69"/>
    </row>
    <row r="54" spans="1:31" s="16" customFormat="1" ht="24.75" customHeight="1" x14ac:dyDescent="0.25">
      <c r="A54" s="65" t="s">
        <v>334</v>
      </c>
      <c r="B54" s="72" t="s">
        <v>333</v>
      </c>
      <c r="C54" s="67">
        <f t="shared" si="9"/>
        <v>118</v>
      </c>
      <c r="D54" s="67"/>
      <c r="E54" s="67">
        <f t="shared" si="10"/>
        <v>118</v>
      </c>
      <c r="F54" s="67">
        <v>118</v>
      </c>
      <c r="G54" s="67"/>
      <c r="H54" s="67"/>
      <c r="I54" s="67"/>
      <c r="J54" s="67"/>
      <c r="K54" s="67">
        <f t="shared" si="7"/>
        <v>0</v>
      </c>
      <c r="L54" s="67"/>
      <c r="M54" s="67"/>
      <c r="N54" s="67">
        <f t="shared" si="12"/>
        <v>235.8323</v>
      </c>
      <c r="O54" s="67"/>
      <c r="P54" s="68">
        <f t="shared" si="11"/>
        <v>235.8323</v>
      </c>
      <c r="Q54" s="67">
        <v>235.8323</v>
      </c>
      <c r="R54" s="67"/>
      <c r="S54" s="67"/>
      <c r="T54" s="67"/>
      <c r="U54" s="67">
        <f t="shared" si="14"/>
        <v>0</v>
      </c>
      <c r="V54" s="67"/>
      <c r="W54" s="67"/>
      <c r="X54" s="67"/>
      <c r="Y54" s="67"/>
      <c r="Z54" s="67"/>
      <c r="AA54" s="67"/>
      <c r="AB54" s="69">
        <f t="shared" si="13"/>
        <v>199.85788135593222</v>
      </c>
      <c r="AC54" s="69"/>
      <c r="AD54" s="69">
        <f t="shared" si="4"/>
        <v>199.85788135593222</v>
      </c>
      <c r="AE54" s="69"/>
    </row>
    <row r="55" spans="1:31" s="16" customFormat="1" ht="24.75" customHeight="1" x14ac:dyDescent="0.25">
      <c r="A55" s="65" t="s">
        <v>336</v>
      </c>
      <c r="B55" s="72" t="s">
        <v>335</v>
      </c>
      <c r="C55" s="67">
        <f t="shared" si="9"/>
        <v>43</v>
      </c>
      <c r="D55" s="67"/>
      <c r="E55" s="67">
        <f t="shared" si="10"/>
        <v>43</v>
      </c>
      <c r="F55" s="67">
        <v>43</v>
      </c>
      <c r="G55" s="67"/>
      <c r="H55" s="67"/>
      <c r="I55" s="67"/>
      <c r="J55" s="67"/>
      <c r="K55" s="67">
        <f t="shared" si="7"/>
        <v>0</v>
      </c>
      <c r="L55" s="67"/>
      <c r="M55" s="67"/>
      <c r="N55" s="67">
        <f t="shared" si="12"/>
        <v>0.10290000000000001</v>
      </c>
      <c r="O55" s="67"/>
      <c r="P55" s="68">
        <f t="shared" si="11"/>
        <v>0.10290000000000001</v>
      </c>
      <c r="Q55" s="67">
        <f>102900/1000000</f>
        <v>0.10290000000000001</v>
      </c>
      <c r="R55" s="67"/>
      <c r="S55" s="67"/>
      <c r="T55" s="67"/>
      <c r="U55" s="67">
        <f t="shared" si="14"/>
        <v>0</v>
      </c>
      <c r="V55" s="67"/>
      <c r="W55" s="67"/>
      <c r="X55" s="67"/>
      <c r="Y55" s="67"/>
      <c r="Z55" s="67"/>
      <c r="AA55" s="67"/>
      <c r="AB55" s="69">
        <f t="shared" si="13"/>
        <v>0.23930232558139536</v>
      </c>
      <c r="AC55" s="69"/>
      <c r="AD55" s="69">
        <f t="shared" si="4"/>
        <v>0.23930232558139536</v>
      </c>
      <c r="AE55" s="69"/>
    </row>
    <row r="56" spans="1:31" s="16" customFormat="1" ht="24.75" customHeight="1" x14ac:dyDescent="0.25">
      <c r="A56" s="65" t="s">
        <v>338</v>
      </c>
      <c r="B56" s="72" t="s">
        <v>337</v>
      </c>
      <c r="C56" s="67">
        <f t="shared" si="9"/>
        <v>383</v>
      </c>
      <c r="D56" s="67"/>
      <c r="E56" s="67">
        <f t="shared" si="10"/>
        <v>383</v>
      </c>
      <c r="F56" s="67">
        <v>383</v>
      </c>
      <c r="G56" s="67"/>
      <c r="H56" s="67"/>
      <c r="I56" s="67"/>
      <c r="J56" s="67"/>
      <c r="K56" s="67">
        <f t="shared" si="7"/>
        <v>0</v>
      </c>
      <c r="L56" s="67"/>
      <c r="M56" s="67"/>
      <c r="N56" s="67">
        <f t="shared" si="12"/>
        <v>356</v>
      </c>
      <c r="O56" s="67"/>
      <c r="P56" s="68">
        <f t="shared" si="11"/>
        <v>356</v>
      </c>
      <c r="Q56" s="67">
        <v>356</v>
      </c>
      <c r="R56" s="67"/>
      <c r="S56" s="67"/>
      <c r="T56" s="67"/>
      <c r="U56" s="67">
        <f t="shared" si="14"/>
        <v>0</v>
      </c>
      <c r="V56" s="67"/>
      <c r="W56" s="67"/>
      <c r="X56" s="67"/>
      <c r="Y56" s="67"/>
      <c r="Z56" s="67"/>
      <c r="AA56" s="67"/>
      <c r="AB56" s="69">
        <f t="shared" si="13"/>
        <v>92.95039164490862</v>
      </c>
      <c r="AC56" s="69"/>
      <c r="AD56" s="69">
        <f t="shared" si="4"/>
        <v>92.95039164490862</v>
      </c>
      <c r="AE56" s="69"/>
    </row>
    <row r="57" spans="1:31" s="16" customFormat="1" ht="24.75" customHeight="1" x14ac:dyDescent="0.25">
      <c r="A57" s="65" t="s">
        <v>389</v>
      </c>
      <c r="B57" s="66" t="s">
        <v>339</v>
      </c>
      <c r="C57" s="67">
        <f t="shared" si="9"/>
        <v>2003</v>
      </c>
      <c r="D57" s="67"/>
      <c r="E57" s="67">
        <f t="shared" si="10"/>
        <v>2003</v>
      </c>
      <c r="F57" s="67">
        <v>2003</v>
      </c>
      <c r="G57" s="67"/>
      <c r="H57" s="67"/>
      <c r="I57" s="67"/>
      <c r="J57" s="67"/>
      <c r="K57" s="67">
        <f t="shared" si="7"/>
        <v>0</v>
      </c>
      <c r="L57" s="67"/>
      <c r="M57" s="67"/>
      <c r="N57" s="67">
        <f t="shared" si="12"/>
        <v>1818.7662339999999</v>
      </c>
      <c r="O57" s="67"/>
      <c r="P57" s="68">
        <f t="shared" si="11"/>
        <v>1818.7662339999999</v>
      </c>
      <c r="Q57" s="67">
        <v>1818.7662339999999</v>
      </c>
      <c r="R57" s="67"/>
      <c r="S57" s="67"/>
      <c r="T57" s="67"/>
      <c r="U57" s="67">
        <f t="shared" si="14"/>
        <v>0</v>
      </c>
      <c r="V57" s="67"/>
      <c r="W57" s="67"/>
      <c r="X57" s="67"/>
      <c r="Y57" s="67"/>
      <c r="Z57" s="67"/>
      <c r="AA57" s="67"/>
      <c r="AB57" s="69">
        <f t="shared" si="13"/>
        <v>90.802108537194201</v>
      </c>
      <c r="AC57" s="69"/>
      <c r="AD57" s="69">
        <f t="shared" si="4"/>
        <v>90.802108537194201</v>
      </c>
      <c r="AE57" s="69"/>
    </row>
    <row r="58" spans="1:31" s="16" customFormat="1" ht="24.75" customHeight="1" x14ac:dyDescent="0.25">
      <c r="A58" s="65" t="s">
        <v>390</v>
      </c>
      <c r="B58" s="66" t="s">
        <v>340</v>
      </c>
      <c r="C58" s="67">
        <f t="shared" si="9"/>
        <v>1789</v>
      </c>
      <c r="D58" s="67"/>
      <c r="E58" s="67">
        <f t="shared" si="10"/>
        <v>1789</v>
      </c>
      <c r="F58" s="67">
        <v>1789</v>
      </c>
      <c r="G58" s="67"/>
      <c r="H58" s="67"/>
      <c r="I58" s="67"/>
      <c r="J58" s="67"/>
      <c r="K58" s="67">
        <f t="shared" si="7"/>
        <v>0</v>
      </c>
      <c r="L58" s="67"/>
      <c r="M58" s="67"/>
      <c r="N58" s="67">
        <f t="shared" si="12"/>
        <v>1873.4768469999999</v>
      </c>
      <c r="O58" s="67"/>
      <c r="P58" s="68">
        <f t="shared" si="11"/>
        <v>1873.4768469999999</v>
      </c>
      <c r="Q58" s="67">
        <v>1873.4768469999999</v>
      </c>
      <c r="R58" s="67"/>
      <c r="S58" s="67"/>
      <c r="T58" s="67"/>
      <c r="U58" s="67">
        <f t="shared" si="14"/>
        <v>0</v>
      </c>
      <c r="V58" s="67"/>
      <c r="W58" s="67"/>
      <c r="X58" s="67"/>
      <c r="Y58" s="67"/>
      <c r="Z58" s="67"/>
      <c r="AA58" s="67"/>
      <c r="AB58" s="69">
        <f t="shared" si="13"/>
        <v>104.72201492453884</v>
      </c>
      <c r="AC58" s="69"/>
      <c r="AD58" s="69">
        <f t="shared" si="4"/>
        <v>104.72201492453884</v>
      </c>
      <c r="AE58" s="69"/>
    </row>
    <row r="59" spans="1:31" s="16" customFormat="1" ht="24.75" customHeight="1" x14ac:dyDescent="0.25">
      <c r="A59" s="65" t="s">
        <v>391</v>
      </c>
      <c r="B59" s="72" t="s">
        <v>341</v>
      </c>
      <c r="C59" s="67">
        <f t="shared" si="9"/>
        <v>208</v>
      </c>
      <c r="D59" s="67"/>
      <c r="E59" s="67">
        <f t="shared" si="10"/>
        <v>208</v>
      </c>
      <c r="F59" s="67">
        <v>208</v>
      </c>
      <c r="G59" s="67"/>
      <c r="H59" s="67"/>
      <c r="I59" s="67"/>
      <c r="J59" s="67"/>
      <c r="K59" s="67">
        <f t="shared" si="7"/>
        <v>0</v>
      </c>
      <c r="L59" s="67"/>
      <c r="M59" s="67"/>
      <c r="N59" s="67">
        <f t="shared" si="12"/>
        <v>0</v>
      </c>
      <c r="O59" s="67"/>
      <c r="P59" s="68">
        <f t="shared" si="11"/>
        <v>0</v>
      </c>
      <c r="Q59" s="67"/>
      <c r="R59" s="67"/>
      <c r="S59" s="67"/>
      <c r="T59" s="67"/>
      <c r="U59" s="67">
        <f t="shared" si="14"/>
        <v>0</v>
      </c>
      <c r="V59" s="67"/>
      <c r="W59" s="67"/>
      <c r="X59" s="67"/>
      <c r="Y59" s="67"/>
      <c r="Z59" s="67"/>
      <c r="AA59" s="67"/>
      <c r="AB59" s="69">
        <f t="shared" si="13"/>
        <v>0</v>
      </c>
      <c r="AC59" s="69"/>
      <c r="AD59" s="69">
        <f t="shared" si="4"/>
        <v>0</v>
      </c>
      <c r="AE59" s="69"/>
    </row>
    <row r="60" spans="1:31" s="16" customFormat="1" ht="24.75" customHeight="1" x14ac:dyDescent="0.25">
      <c r="A60" s="65" t="s">
        <v>392</v>
      </c>
      <c r="B60" s="72" t="s">
        <v>342</v>
      </c>
      <c r="C60" s="67">
        <f t="shared" si="9"/>
        <v>120</v>
      </c>
      <c r="D60" s="67"/>
      <c r="E60" s="67">
        <f t="shared" si="10"/>
        <v>120</v>
      </c>
      <c r="F60" s="67">
        <v>120</v>
      </c>
      <c r="G60" s="67"/>
      <c r="H60" s="67"/>
      <c r="I60" s="67"/>
      <c r="J60" s="67"/>
      <c r="K60" s="67">
        <f t="shared" si="7"/>
        <v>0</v>
      </c>
      <c r="L60" s="67"/>
      <c r="M60" s="67"/>
      <c r="N60" s="67">
        <f t="shared" si="12"/>
        <v>0</v>
      </c>
      <c r="O60" s="67"/>
      <c r="P60" s="68">
        <f t="shared" si="11"/>
        <v>0</v>
      </c>
      <c r="Q60" s="67"/>
      <c r="R60" s="67"/>
      <c r="S60" s="67"/>
      <c r="T60" s="67"/>
      <c r="U60" s="67">
        <f t="shared" si="14"/>
        <v>0</v>
      </c>
      <c r="V60" s="67"/>
      <c r="W60" s="67"/>
      <c r="X60" s="67"/>
      <c r="Y60" s="67"/>
      <c r="Z60" s="67"/>
      <c r="AA60" s="67"/>
      <c r="AB60" s="69">
        <f t="shared" si="13"/>
        <v>0</v>
      </c>
      <c r="AC60" s="69"/>
      <c r="AD60" s="69">
        <f t="shared" si="4"/>
        <v>0</v>
      </c>
      <c r="AE60" s="69"/>
    </row>
    <row r="61" spans="1:31" s="16" customFormat="1" ht="24.75" customHeight="1" x14ac:dyDescent="0.25">
      <c r="A61" s="65" t="s">
        <v>393</v>
      </c>
      <c r="B61" s="72" t="s">
        <v>527</v>
      </c>
      <c r="C61" s="67">
        <f t="shared" si="9"/>
        <v>20</v>
      </c>
      <c r="D61" s="67"/>
      <c r="E61" s="67">
        <f t="shared" si="10"/>
        <v>20</v>
      </c>
      <c r="F61" s="67">
        <v>20</v>
      </c>
      <c r="G61" s="67"/>
      <c r="H61" s="67"/>
      <c r="I61" s="67"/>
      <c r="J61" s="67"/>
      <c r="K61" s="67">
        <f t="shared" si="7"/>
        <v>0</v>
      </c>
      <c r="L61" s="67"/>
      <c r="M61" s="67"/>
      <c r="N61" s="67">
        <f t="shared" si="12"/>
        <v>0</v>
      </c>
      <c r="O61" s="67"/>
      <c r="P61" s="68">
        <f t="shared" si="11"/>
        <v>0</v>
      </c>
      <c r="Q61" s="67"/>
      <c r="R61" s="67"/>
      <c r="S61" s="67"/>
      <c r="T61" s="67"/>
      <c r="U61" s="67">
        <f t="shared" si="14"/>
        <v>0</v>
      </c>
      <c r="V61" s="67"/>
      <c r="W61" s="67"/>
      <c r="X61" s="67"/>
      <c r="Y61" s="67"/>
      <c r="Z61" s="67"/>
      <c r="AA61" s="67"/>
      <c r="AB61" s="69">
        <f t="shared" si="13"/>
        <v>0</v>
      </c>
      <c r="AC61" s="69"/>
      <c r="AD61" s="69">
        <f t="shared" si="4"/>
        <v>0</v>
      </c>
      <c r="AE61" s="69"/>
    </row>
    <row r="62" spans="1:31" s="16" customFormat="1" ht="24.75" customHeight="1" x14ac:dyDescent="0.25">
      <c r="A62" s="65" t="s">
        <v>394</v>
      </c>
      <c r="B62" s="75" t="s">
        <v>528</v>
      </c>
      <c r="C62" s="67">
        <f t="shared" si="9"/>
        <v>34</v>
      </c>
      <c r="D62" s="67"/>
      <c r="E62" s="67">
        <f t="shared" si="10"/>
        <v>34</v>
      </c>
      <c r="F62" s="67">
        <v>34</v>
      </c>
      <c r="G62" s="67"/>
      <c r="H62" s="67"/>
      <c r="I62" s="67"/>
      <c r="J62" s="67"/>
      <c r="K62" s="67">
        <f t="shared" si="7"/>
        <v>0</v>
      </c>
      <c r="L62" s="67"/>
      <c r="M62" s="67"/>
      <c r="N62" s="67">
        <f t="shared" si="12"/>
        <v>15.5</v>
      </c>
      <c r="O62" s="67"/>
      <c r="P62" s="68">
        <f t="shared" si="11"/>
        <v>15.5</v>
      </c>
      <c r="Q62" s="67">
        <v>15.5</v>
      </c>
      <c r="R62" s="67"/>
      <c r="S62" s="67"/>
      <c r="T62" s="67"/>
      <c r="U62" s="67">
        <f t="shared" si="14"/>
        <v>0</v>
      </c>
      <c r="V62" s="67"/>
      <c r="W62" s="67"/>
      <c r="X62" s="67"/>
      <c r="Y62" s="67"/>
      <c r="Z62" s="67"/>
      <c r="AA62" s="67"/>
      <c r="AB62" s="69">
        <f t="shared" si="13"/>
        <v>45.588235294117645</v>
      </c>
      <c r="AC62" s="69"/>
      <c r="AD62" s="69">
        <f t="shared" si="4"/>
        <v>45.588235294117645</v>
      </c>
      <c r="AE62" s="69"/>
    </row>
    <row r="63" spans="1:31" s="16" customFormat="1" ht="38.25" customHeight="1" x14ac:dyDescent="0.25">
      <c r="A63" s="65" t="s">
        <v>395</v>
      </c>
      <c r="B63" s="75" t="s">
        <v>344</v>
      </c>
      <c r="C63" s="67">
        <f t="shared" si="9"/>
        <v>65</v>
      </c>
      <c r="D63" s="67"/>
      <c r="E63" s="67">
        <f t="shared" si="10"/>
        <v>65</v>
      </c>
      <c r="F63" s="67">
        <v>65</v>
      </c>
      <c r="G63" s="67"/>
      <c r="H63" s="67"/>
      <c r="I63" s="67"/>
      <c r="J63" s="67"/>
      <c r="K63" s="67">
        <f t="shared" si="7"/>
        <v>0</v>
      </c>
      <c r="L63" s="67"/>
      <c r="M63" s="67"/>
      <c r="N63" s="67">
        <f t="shared" si="12"/>
        <v>64</v>
      </c>
      <c r="O63" s="67"/>
      <c r="P63" s="68">
        <f t="shared" si="11"/>
        <v>64</v>
      </c>
      <c r="Q63" s="67">
        <v>64</v>
      </c>
      <c r="R63" s="67"/>
      <c r="S63" s="67"/>
      <c r="T63" s="67"/>
      <c r="U63" s="67">
        <f t="shared" si="14"/>
        <v>0</v>
      </c>
      <c r="V63" s="67"/>
      <c r="W63" s="67"/>
      <c r="X63" s="67"/>
      <c r="Y63" s="67"/>
      <c r="Z63" s="67"/>
      <c r="AA63" s="67"/>
      <c r="AB63" s="69">
        <f t="shared" si="13"/>
        <v>98.461538461538453</v>
      </c>
      <c r="AC63" s="69"/>
      <c r="AD63" s="69">
        <f t="shared" si="4"/>
        <v>98.461538461538453</v>
      </c>
      <c r="AE63" s="69"/>
    </row>
    <row r="64" spans="1:31" s="16" customFormat="1" ht="45.75" customHeight="1" x14ac:dyDescent="0.25">
      <c r="A64" s="65" t="s">
        <v>396</v>
      </c>
      <c r="B64" s="75" t="s">
        <v>529</v>
      </c>
      <c r="C64" s="67">
        <f t="shared" si="9"/>
        <v>13000</v>
      </c>
      <c r="D64" s="67"/>
      <c r="E64" s="67">
        <f t="shared" si="10"/>
        <v>13000</v>
      </c>
      <c r="F64" s="67">
        <v>1500</v>
      </c>
      <c r="G64" s="67">
        <v>11500</v>
      </c>
      <c r="H64" s="67"/>
      <c r="I64" s="67"/>
      <c r="J64" s="67"/>
      <c r="K64" s="67">
        <f t="shared" si="7"/>
        <v>0</v>
      </c>
      <c r="L64" s="67"/>
      <c r="M64" s="67"/>
      <c r="N64" s="67">
        <f t="shared" si="12"/>
        <v>6843.9049770000001</v>
      </c>
      <c r="O64" s="67"/>
      <c r="P64" s="68">
        <f t="shared" si="11"/>
        <v>6843.9049770000001</v>
      </c>
      <c r="Q64" s="67">
        <v>6843.9049770000001</v>
      </c>
      <c r="R64" s="67"/>
      <c r="S64" s="67"/>
      <c r="T64" s="67"/>
      <c r="U64" s="67">
        <f t="shared" si="14"/>
        <v>0</v>
      </c>
      <c r="V64" s="67"/>
      <c r="W64" s="67"/>
      <c r="X64" s="67"/>
      <c r="Y64" s="67"/>
      <c r="Z64" s="67"/>
      <c r="AA64" s="67"/>
      <c r="AB64" s="69">
        <f t="shared" si="13"/>
        <v>52.6454229</v>
      </c>
      <c r="AC64" s="69"/>
      <c r="AD64" s="69">
        <f t="shared" si="4"/>
        <v>52.6454229</v>
      </c>
      <c r="AE64" s="69"/>
    </row>
    <row r="65" spans="1:31" s="16" customFormat="1" ht="24.75" customHeight="1" x14ac:dyDescent="0.25">
      <c r="A65" s="65" t="s">
        <v>397</v>
      </c>
      <c r="B65" s="75" t="s">
        <v>343</v>
      </c>
      <c r="C65" s="67">
        <f t="shared" si="9"/>
        <v>120</v>
      </c>
      <c r="D65" s="67"/>
      <c r="E65" s="67">
        <f t="shared" si="10"/>
        <v>120</v>
      </c>
      <c r="F65" s="67">
        <v>120</v>
      </c>
      <c r="G65" s="67"/>
      <c r="H65" s="67"/>
      <c r="I65" s="67"/>
      <c r="J65" s="67"/>
      <c r="K65" s="67">
        <f t="shared" si="7"/>
        <v>0</v>
      </c>
      <c r="L65" s="67"/>
      <c r="M65" s="67"/>
      <c r="N65" s="67">
        <f t="shared" si="12"/>
        <v>0</v>
      </c>
      <c r="O65" s="67"/>
      <c r="P65" s="68">
        <f t="shared" si="11"/>
        <v>0</v>
      </c>
      <c r="Q65" s="67"/>
      <c r="R65" s="67"/>
      <c r="S65" s="67"/>
      <c r="T65" s="67"/>
      <c r="U65" s="67">
        <f t="shared" si="14"/>
        <v>0</v>
      </c>
      <c r="V65" s="67"/>
      <c r="W65" s="67"/>
      <c r="X65" s="67"/>
      <c r="Y65" s="67"/>
      <c r="Z65" s="67"/>
      <c r="AA65" s="67"/>
      <c r="AB65" s="69">
        <f t="shared" si="13"/>
        <v>0</v>
      </c>
      <c r="AC65" s="69"/>
      <c r="AD65" s="69">
        <f t="shared" si="4"/>
        <v>0</v>
      </c>
      <c r="AE65" s="69"/>
    </row>
    <row r="66" spans="1:31" s="16" customFormat="1" ht="24.75" customHeight="1" x14ac:dyDescent="0.25">
      <c r="A66" s="65" t="s">
        <v>398</v>
      </c>
      <c r="B66" s="76" t="s">
        <v>530</v>
      </c>
      <c r="C66" s="67">
        <f t="shared" si="9"/>
        <v>120</v>
      </c>
      <c r="D66" s="67"/>
      <c r="E66" s="67">
        <f t="shared" si="10"/>
        <v>120</v>
      </c>
      <c r="F66" s="67">
        <v>120</v>
      </c>
      <c r="G66" s="67"/>
      <c r="H66" s="67"/>
      <c r="I66" s="67"/>
      <c r="J66" s="67"/>
      <c r="K66" s="67">
        <f t="shared" si="7"/>
        <v>0</v>
      </c>
      <c r="L66" s="67"/>
      <c r="M66" s="67"/>
      <c r="N66" s="67">
        <f t="shared" si="12"/>
        <v>0</v>
      </c>
      <c r="O66" s="67"/>
      <c r="P66" s="68">
        <f t="shared" si="11"/>
        <v>0</v>
      </c>
      <c r="Q66" s="67"/>
      <c r="R66" s="67"/>
      <c r="S66" s="67"/>
      <c r="T66" s="67"/>
      <c r="U66" s="67">
        <f t="shared" si="14"/>
        <v>0</v>
      </c>
      <c r="V66" s="67"/>
      <c r="W66" s="67"/>
      <c r="X66" s="67"/>
      <c r="Y66" s="67"/>
      <c r="Z66" s="67"/>
      <c r="AA66" s="67"/>
      <c r="AB66" s="69">
        <f t="shared" si="13"/>
        <v>0</v>
      </c>
      <c r="AC66" s="69"/>
      <c r="AD66" s="69">
        <f t="shared" si="4"/>
        <v>0</v>
      </c>
      <c r="AE66" s="69"/>
    </row>
    <row r="67" spans="1:31" s="16" customFormat="1" ht="24.75" customHeight="1" x14ac:dyDescent="0.25">
      <c r="A67" s="65" t="s">
        <v>399</v>
      </c>
      <c r="B67" s="75" t="s">
        <v>346</v>
      </c>
      <c r="C67" s="67">
        <f t="shared" si="9"/>
        <v>26502.079669999999</v>
      </c>
      <c r="D67" s="67">
        <v>26502.079669999999</v>
      </c>
      <c r="E67" s="67">
        <f t="shared" si="10"/>
        <v>0</v>
      </c>
      <c r="F67" s="67"/>
      <c r="G67" s="67"/>
      <c r="H67" s="67"/>
      <c r="I67" s="67"/>
      <c r="J67" s="67"/>
      <c r="K67" s="67">
        <f t="shared" si="7"/>
        <v>0</v>
      </c>
      <c r="L67" s="67"/>
      <c r="M67" s="67"/>
      <c r="N67" s="67">
        <f t="shared" si="12"/>
        <v>30685.516669999997</v>
      </c>
      <c r="O67" s="67">
        <v>30685.516669999997</v>
      </c>
      <c r="P67" s="68">
        <f t="shared" si="11"/>
        <v>0</v>
      </c>
      <c r="Q67" s="67"/>
      <c r="R67" s="67"/>
      <c r="S67" s="67"/>
      <c r="T67" s="67"/>
      <c r="U67" s="67">
        <f t="shared" si="14"/>
        <v>0</v>
      </c>
      <c r="V67" s="67"/>
      <c r="W67" s="67"/>
      <c r="X67" s="67"/>
      <c r="Y67" s="67"/>
      <c r="Z67" s="67"/>
      <c r="AA67" s="67"/>
      <c r="AB67" s="69">
        <f t="shared" si="13"/>
        <v>115.78531591517171</v>
      </c>
      <c r="AC67" s="69">
        <f t="shared" si="13"/>
        <v>115.78531591517171</v>
      </c>
      <c r="AD67" s="69"/>
      <c r="AE67" s="69"/>
    </row>
    <row r="68" spans="1:31" s="16" customFormat="1" ht="38.25" customHeight="1" x14ac:dyDescent="0.25">
      <c r="A68" s="65" t="s">
        <v>400</v>
      </c>
      <c r="B68" s="208" t="s">
        <v>345</v>
      </c>
      <c r="C68" s="67">
        <f t="shared" si="9"/>
        <v>554951.76</v>
      </c>
      <c r="D68" s="67">
        <v>554951.76</v>
      </c>
      <c r="E68" s="67">
        <f t="shared" si="10"/>
        <v>0</v>
      </c>
      <c r="F68" s="67"/>
      <c r="G68" s="67"/>
      <c r="H68" s="67"/>
      <c r="I68" s="67"/>
      <c r="J68" s="67"/>
      <c r="K68" s="67">
        <f t="shared" si="7"/>
        <v>0</v>
      </c>
      <c r="L68" s="67"/>
      <c r="M68" s="67"/>
      <c r="N68" s="67">
        <f t="shared" si="12"/>
        <v>509545.83216300001</v>
      </c>
      <c r="O68" s="67">
        <v>509545.83216300001</v>
      </c>
      <c r="P68" s="68">
        <f t="shared" si="11"/>
        <v>0</v>
      </c>
      <c r="Q68" s="67"/>
      <c r="R68" s="67"/>
      <c r="S68" s="67"/>
      <c r="T68" s="67"/>
      <c r="U68" s="67">
        <f t="shared" si="14"/>
        <v>0</v>
      </c>
      <c r="V68" s="67"/>
      <c r="W68" s="67"/>
      <c r="X68" s="67"/>
      <c r="Y68" s="67"/>
      <c r="Z68" s="67"/>
      <c r="AA68" s="67"/>
      <c r="AB68" s="69">
        <f t="shared" si="13"/>
        <v>91.818040574013139</v>
      </c>
      <c r="AC68" s="69">
        <f t="shared" si="13"/>
        <v>91.818040574013139</v>
      </c>
      <c r="AD68" s="69"/>
      <c r="AE68" s="69"/>
    </row>
    <row r="69" spans="1:31" s="16" customFormat="1" ht="34.5" customHeight="1" x14ac:dyDescent="0.25">
      <c r="A69" s="65" t="s">
        <v>401</v>
      </c>
      <c r="B69" s="77" t="s">
        <v>531</v>
      </c>
      <c r="C69" s="67">
        <f t="shared" si="9"/>
        <v>60935</v>
      </c>
      <c r="D69" s="67">
        <v>55791</v>
      </c>
      <c r="E69" s="67">
        <f t="shared" si="10"/>
        <v>5144</v>
      </c>
      <c r="F69" s="67"/>
      <c r="G69" s="67"/>
      <c r="H69" s="67">
        <v>5144</v>
      </c>
      <c r="I69" s="67"/>
      <c r="J69" s="67"/>
      <c r="K69" s="67">
        <f t="shared" si="7"/>
        <v>0</v>
      </c>
      <c r="L69" s="67"/>
      <c r="M69" s="67"/>
      <c r="N69" s="67">
        <f t="shared" si="12"/>
        <v>80562.348406000005</v>
      </c>
      <c r="O69" s="67">
        <v>46180.348406000005</v>
      </c>
      <c r="P69" s="68">
        <f t="shared" si="11"/>
        <v>34382</v>
      </c>
      <c r="Q69" s="67">
        <v>34382</v>
      </c>
      <c r="R69" s="67"/>
      <c r="S69" s="67"/>
      <c r="T69" s="67"/>
      <c r="U69" s="67">
        <f t="shared" si="14"/>
        <v>0</v>
      </c>
      <c r="V69" s="67"/>
      <c r="W69" s="67"/>
      <c r="X69" s="67"/>
      <c r="Y69" s="67"/>
      <c r="Z69" s="67"/>
      <c r="AA69" s="67"/>
      <c r="AB69" s="69">
        <f t="shared" si="13"/>
        <v>132.21030344793633</v>
      </c>
      <c r="AC69" s="69">
        <f t="shared" si="13"/>
        <v>82.773831632342151</v>
      </c>
      <c r="AD69" s="69">
        <f t="shared" si="4"/>
        <v>668.39035769828934</v>
      </c>
      <c r="AE69" s="69"/>
    </row>
    <row r="70" spans="1:31" s="16" customFormat="1" ht="39.75" customHeight="1" x14ac:dyDescent="0.25">
      <c r="A70" s="65" t="s">
        <v>402</v>
      </c>
      <c r="B70" s="78" t="s">
        <v>348</v>
      </c>
      <c r="C70" s="67">
        <f t="shared" si="9"/>
        <v>10650</v>
      </c>
      <c r="D70" s="67">
        <v>400</v>
      </c>
      <c r="E70" s="67">
        <f t="shared" si="10"/>
        <v>10250</v>
      </c>
      <c r="F70" s="67">
        <v>10250</v>
      </c>
      <c r="G70" s="67"/>
      <c r="H70" s="67"/>
      <c r="I70" s="67"/>
      <c r="J70" s="67"/>
      <c r="K70" s="67">
        <f t="shared" si="7"/>
        <v>0</v>
      </c>
      <c r="L70" s="67"/>
      <c r="M70" s="67"/>
      <c r="N70" s="67">
        <f t="shared" si="12"/>
        <v>400</v>
      </c>
      <c r="O70" s="67">
        <v>400</v>
      </c>
      <c r="P70" s="68">
        <f t="shared" si="11"/>
        <v>0</v>
      </c>
      <c r="Q70" s="67"/>
      <c r="R70" s="67"/>
      <c r="S70" s="67"/>
      <c r="T70" s="67"/>
      <c r="U70" s="67">
        <f t="shared" si="14"/>
        <v>0</v>
      </c>
      <c r="V70" s="67"/>
      <c r="W70" s="67"/>
      <c r="X70" s="67"/>
      <c r="Y70" s="67"/>
      <c r="Z70" s="67"/>
      <c r="AA70" s="67"/>
      <c r="AB70" s="69">
        <f t="shared" si="13"/>
        <v>3.755868544600939</v>
      </c>
      <c r="AC70" s="69">
        <f t="shared" si="13"/>
        <v>100</v>
      </c>
      <c r="AD70" s="69">
        <f t="shared" si="4"/>
        <v>0</v>
      </c>
      <c r="AE70" s="69"/>
    </row>
    <row r="71" spans="1:31" s="16" customFormat="1" ht="41.25" customHeight="1" x14ac:dyDescent="0.25">
      <c r="A71" s="65" t="s">
        <v>403</v>
      </c>
      <c r="B71" s="209" t="s">
        <v>347</v>
      </c>
      <c r="C71" s="67">
        <f t="shared" si="9"/>
        <v>2514</v>
      </c>
      <c r="D71" s="210">
        <v>2514</v>
      </c>
      <c r="E71" s="67">
        <f t="shared" si="10"/>
        <v>0</v>
      </c>
      <c r="F71" s="67"/>
      <c r="G71" s="67"/>
      <c r="H71" s="67"/>
      <c r="I71" s="67"/>
      <c r="J71" s="67"/>
      <c r="K71" s="67">
        <f t="shared" si="7"/>
        <v>0</v>
      </c>
      <c r="L71" s="67"/>
      <c r="M71" s="67"/>
      <c r="N71" s="67">
        <f t="shared" si="12"/>
        <v>2683.999984</v>
      </c>
      <c r="O71" s="67">
        <v>2683.999984</v>
      </c>
      <c r="P71" s="68">
        <f t="shared" si="11"/>
        <v>0</v>
      </c>
      <c r="Q71" s="67"/>
      <c r="R71" s="67"/>
      <c r="S71" s="67"/>
      <c r="T71" s="67"/>
      <c r="U71" s="67">
        <f t="shared" si="14"/>
        <v>0</v>
      </c>
      <c r="V71" s="67"/>
      <c r="W71" s="67"/>
      <c r="X71" s="67"/>
      <c r="Y71" s="67"/>
      <c r="Z71" s="67"/>
      <c r="AA71" s="67"/>
      <c r="AB71" s="69">
        <f t="shared" si="13"/>
        <v>106.76213142402545</v>
      </c>
      <c r="AC71" s="69">
        <f t="shared" si="13"/>
        <v>106.76213142402545</v>
      </c>
      <c r="AD71" s="69"/>
      <c r="AE71" s="69"/>
    </row>
    <row r="72" spans="1:31" s="16" customFormat="1" ht="41.25" customHeight="1" x14ac:dyDescent="0.25">
      <c r="A72" s="65" t="s">
        <v>404</v>
      </c>
      <c r="B72" s="75" t="s">
        <v>349</v>
      </c>
      <c r="C72" s="67">
        <f t="shared" si="9"/>
        <v>6593</v>
      </c>
      <c r="D72" s="67">
        <v>100</v>
      </c>
      <c r="E72" s="67">
        <f t="shared" si="10"/>
        <v>6493</v>
      </c>
      <c r="F72" s="67">
        <v>6493</v>
      </c>
      <c r="G72" s="67"/>
      <c r="H72" s="67"/>
      <c r="I72" s="67"/>
      <c r="J72" s="67"/>
      <c r="K72" s="67">
        <f t="shared" si="7"/>
        <v>0</v>
      </c>
      <c r="L72" s="67"/>
      <c r="M72" s="67"/>
      <c r="N72" s="67">
        <f t="shared" si="12"/>
        <v>7313.7618769999999</v>
      </c>
      <c r="O72" s="67">
        <v>32.51</v>
      </c>
      <c r="P72" s="68">
        <f t="shared" si="11"/>
        <v>7281.2518769999997</v>
      </c>
      <c r="Q72" s="67">
        <v>7281.2518769999997</v>
      </c>
      <c r="R72" s="67"/>
      <c r="S72" s="67"/>
      <c r="T72" s="67"/>
      <c r="U72" s="67">
        <f t="shared" si="14"/>
        <v>0</v>
      </c>
      <c r="V72" s="67"/>
      <c r="W72" s="67"/>
      <c r="X72" s="67"/>
      <c r="Y72" s="67"/>
      <c r="Z72" s="67"/>
      <c r="AA72" s="67"/>
      <c r="AB72" s="69">
        <f t="shared" si="13"/>
        <v>110.93222928863945</v>
      </c>
      <c r="AC72" s="69">
        <f t="shared" si="13"/>
        <v>32.51</v>
      </c>
      <c r="AD72" s="69">
        <f t="shared" si="4"/>
        <v>112.14002582781455</v>
      </c>
      <c r="AE72" s="69"/>
    </row>
    <row r="73" spans="1:31" s="16" customFormat="1" ht="39.75" customHeight="1" x14ac:dyDescent="0.25">
      <c r="A73" s="65" t="s">
        <v>405</v>
      </c>
      <c r="B73" s="208" t="s">
        <v>532</v>
      </c>
      <c r="C73" s="67">
        <f t="shared" si="9"/>
        <v>91182.8</v>
      </c>
      <c r="D73" s="67">
        <v>91182.8</v>
      </c>
      <c r="E73" s="67">
        <f t="shared" si="10"/>
        <v>0</v>
      </c>
      <c r="F73" s="67"/>
      <c r="G73" s="67"/>
      <c r="H73" s="67"/>
      <c r="I73" s="67"/>
      <c r="J73" s="67"/>
      <c r="K73" s="67">
        <f t="shared" si="7"/>
        <v>0</v>
      </c>
      <c r="L73" s="67"/>
      <c r="M73" s="67"/>
      <c r="N73" s="67">
        <f t="shared" si="12"/>
        <v>37682.909242999995</v>
      </c>
      <c r="O73" s="67">
        <v>37682.909242999995</v>
      </c>
      <c r="P73" s="68">
        <f t="shared" si="11"/>
        <v>0</v>
      </c>
      <c r="Q73" s="67"/>
      <c r="R73" s="67"/>
      <c r="S73" s="67"/>
      <c r="T73" s="67"/>
      <c r="U73" s="67">
        <f t="shared" si="14"/>
        <v>0</v>
      </c>
      <c r="V73" s="67"/>
      <c r="W73" s="67"/>
      <c r="X73" s="67"/>
      <c r="Y73" s="67"/>
      <c r="Z73" s="67"/>
      <c r="AA73" s="67"/>
      <c r="AB73" s="69">
        <f t="shared" si="13"/>
        <v>41.326773517593224</v>
      </c>
      <c r="AC73" s="69">
        <f t="shared" si="13"/>
        <v>41.326773517593224</v>
      </c>
      <c r="AD73" s="69"/>
      <c r="AE73" s="69"/>
    </row>
    <row r="74" spans="1:31" s="16" customFormat="1" ht="24.75" customHeight="1" x14ac:dyDescent="0.25">
      <c r="A74" s="65" t="s">
        <v>406</v>
      </c>
      <c r="B74" s="211" t="s">
        <v>533</v>
      </c>
      <c r="C74" s="67">
        <f t="shared" si="9"/>
        <v>50</v>
      </c>
      <c r="D74" s="67">
        <v>50</v>
      </c>
      <c r="E74" s="67">
        <f t="shared" si="10"/>
        <v>0</v>
      </c>
      <c r="F74" s="67"/>
      <c r="G74" s="67"/>
      <c r="H74" s="67"/>
      <c r="I74" s="67"/>
      <c r="J74" s="67"/>
      <c r="K74" s="67">
        <f t="shared" si="7"/>
        <v>0</v>
      </c>
      <c r="L74" s="67"/>
      <c r="M74" s="67"/>
      <c r="N74" s="67">
        <f t="shared" si="12"/>
        <v>50</v>
      </c>
      <c r="O74" s="67">
        <v>50</v>
      </c>
      <c r="P74" s="68">
        <f t="shared" si="11"/>
        <v>0</v>
      </c>
      <c r="Q74" s="67"/>
      <c r="R74" s="67"/>
      <c r="S74" s="67"/>
      <c r="T74" s="67"/>
      <c r="U74" s="67">
        <f t="shared" si="14"/>
        <v>0</v>
      </c>
      <c r="V74" s="67"/>
      <c r="W74" s="67"/>
      <c r="X74" s="67"/>
      <c r="Y74" s="67"/>
      <c r="Z74" s="67"/>
      <c r="AA74" s="67"/>
      <c r="AB74" s="69">
        <f t="shared" si="13"/>
        <v>100</v>
      </c>
      <c r="AC74" s="69">
        <f t="shared" si="13"/>
        <v>100</v>
      </c>
      <c r="AD74" s="69"/>
      <c r="AE74" s="69"/>
    </row>
    <row r="75" spans="1:31" s="16" customFormat="1" ht="43.5" customHeight="1" x14ac:dyDescent="0.25">
      <c r="A75" s="65" t="s">
        <v>407</v>
      </c>
      <c r="B75" s="75" t="s">
        <v>350</v>
      </c>
      <c r="C75" s="67">
        <f t="shared" si="9"/>
        <v>13624</v>
      </c>
      <c r="D75" s="67">
        <v>13624</v>
      </c>
      <c r="E75" s="67">
        <f t="shared" si="10"/>
        <v>0</v>
      </c>
      <c r="F75" s="67"/>
      <c r="G75" s="67"/>
      <c r="H75" s="67"/>
      <c r="I75" s="67"/>
      <c r="J75" s="67"/>
      <c r="K75" s="67">
        <f t="shared" si="7"/>
        <v>0</v>
      </c>
      <c r="L75" s="67"/>
      <c r="M75" s="67"/>
      <c r="N75" s="67">
        <f t="shared" si="12"/>
        <v>25180.6705</v>
      </c>
      <c r="O75" s="67">
        <v>25180.6705</v>
      </c>
      <c r="P75" s="68">
        <f t="shared" si="11"/>
        <v>0</v>
      </c>
      <c r="Q75" s="67"/>
      <c r="R75" s="67"/>
      <c r="S75" s="67"/>
      <c r="T75" s="67"/>
      <c r="U75" s="67">
        <f t="shared" si="14"/>
        <v>0</v>
      </c>
      <c r="V75" s="67"/>
      <c r="W75" s="67"/>
      <c r="X75" s="67"/>
      <c r="Y75" s="67"/>
      <c r="Z75" s="67"/>
      <c r="AA75" s="67"/>
      <c r="AB75" s="69">
        <f t="shared" si="13"/>
        <v>184.8258257486788</v>
      </c>
      <c r="AC75" s="69">
        <f t="shared" si="13"/>
        <v>184.8258257486788</v>
      </c>
      <c r="AD75" s="69"/>
      <c r="AE75" s="69"/>
    </row>
    <row r="76" spans="1:31" s="16" customFormat="1" ht="32.25" customHeight="1" x14ac:dyDescent="0.25">
      <c r="A76" s="65" t="s">
        <v>408</v>
      </c>
      <c r="B76" s="75" t="s">
        <v>351</v>
      </c>
      <c r="C76" s="67">
        <f t="shared" si="9"/>
        <v>19303.929</v>
      </c>
      <c r="D76" s="67">
        <v>19303.929</v>
      </c>
      <c r="E76" s="67">
        <f t="shared" si="10"/>
        <v>0</v>
      </c>
      <c r="F76" s="67"/>
      <c r="G76" s="67"/>
      <c r="H76" s="67"/>
      <c r="I76" s="67"/>
      <c r="J76" s="67"/>
      <c r="K76" s="67">
        <f t="shared" si="7"/>
        <v>0</v>
      </c>
      <c r="L76" s="67"/>
      <c r="M76" s="67"/>
      <c r="N76" s="67">
        <f t="shared" si="12"/>
        <v>14901.431294000002</v>
      </c>
      <c r="O76" s="67">
        <v>14901.431294000002</v>
      </c>
      <c r="P76" s="68">
        <f t="shared" si="11"/>
        <v>0</v>
      </c>
      <c r="Q76" s="67"/>
      <c r="R76" s="67"/>
      <c r="S76" s="67"/>
      <c r="T76" s="67"/>
      <c r="U76" s="67">
        <f t="shared" si="14"/>
        <v>0</v>
      </c>
      <c r="V76" s="67"/>
      <c r="W76" s="67"/>
      <c r="X76" s="67"/>
      <c r="Y76" s="67"/>
      <c r="Z76" s="67"/>
      <c r="AA76" s="67"/>
      <c r="AB76" s="69">
        <f t="shared" si="13"/>
        <v>77.193773837440048</v>
      </c>
      <c r="AC76" s="69">
        <f t="shared" si="13"/>
        <v>77.193773837440048</v>
      </c>
      <c r="AD76" s="69"/>
      <c r="AE76" s="69"/>
    </row>
    <row r="77" spans="1:31" s="16" customFormat="1" ht="42" customHeight="1" x14ac:dyDescent="0.25">
      <c r="A77" s="65" t="s">
        <v>409</v>
      </c>
      <c r="B77" s="75" t="s">
        <v>352</v>
      </c>
      <c r="C77" s="67">
        <f t="shared" si="9"/>
        <v>30650</v>
      </c>
      <c r="D77" s="67">
        <v>30650</v>
      </c>
      <c r="E77" s="67">
        <f t="shared" si="10"/>
        <v>0</v>
      </c>
      <c r="F77" s="67"/>
      <c r="G77" s="67"/>
      <c r="H77" s="67"/>
      <c r="I77" s="67"/>
      <c r="J77" s="67"/>
      <c r="K77" s="67">
        <f t="shared" si="7"/>
        <v>0</v>
      </c>
      <c r="L77" s="67"/>
      <c r="M77" s="67"/>
      <c r="N77" s="67">
        <f t="shared" si="12"/>
        <v>230229.06599999999</v>
      </c>
      <c r="O77" s="67">
        <v>230229.06599999999</v>
      </c>
      <c r="P77" s="68">
        <f t="shared" si="11"/>
        <v>0</v>
      </c>
      <c r="Q77" s="67"/>
      <c r="R77" s="67"/>
      <c r="S77" s="67"/>
      <c r="T77" s="67"/>
      <c r="U77" s="67">
        <f t="shared" si="14"/>
        <v>0</v>
      </c>
      <c r="V77" s="67"/>
      <c r="W77" s="67"/>
      <c r="X77" s="67"/>
      <c r="Y77" s="67"/>
      <c r="Z77" s="67"/>
      <c r="AA77" s="67"/>
      <c r="AB77" s="69">
        <f t="shared" si="13"/>
        <v>751.15519086460029</v>
      </c>
      <c r="AC77" s="69">
        <f t="shared" si="13"/>
        <v>751.15519086460029</v>
      </c>
      <c r="AD77" s="69"/>
      <c r="AE77" s="69"/>
    </row>
    <row r="78" spans="1:31" s="16" customFormat="1" ht="24.75" customHeight="1" x14ac:dyDescent="0.25">
      <c r="A78" s="65" t="s">
        <v>410</v>
      </c>
      <c r="B78" s="75" t="s">
        <v>353</v>
      </c>
      <c r="C78" s="67">
        <f t="shared" si="9"/>
        <v>49.910000000000004</v>
      </c>
      <c r="D78" s="67">
        <v>49.910000000000004</v>
      </c>
      <c r="E78" s="67">
        <f t="shared" si="10"/>
        <v>0</v>
      </c>
      <c r="F78" s="67"/>
      <c r="G78" s="67"/>
      <c r="H78" s="67"/>
      <c r="I78" s="67"/>
      <c r="J78" s="67"/>
      <c r="K78" s="67">
        <f t="shared" ref="K78:K118" si="15">L78+M78</f>
        <v>0</v>
      </c>
      <c r="L78" s="67"/>
      <c r="M78" s="67"/>
      <c r="N78" s="67">
        <f t="shared" si="12"/>
        <v>6061.5108480000008</v>
      </c>
      <c r="O78" s="67">
        <v>6061.5108480000008</v>
      </c>
      <c r="P78" s="68">
        <f t="shared" si="11"/>
        <v>0</v>
      </c>
      <c r="Q78" s="67"/>
      <c r="R78" s="67"/>
      <c r="S78" s="67"/>
      <c r="T78" s="67"/>
      <c r="U78" s="67">
        <f t="shared" si="14"/>
        <v>0</v>
      </c>
      <c r="V78" s="67"/>
      <c r="W78" s="67"/>
      <c r="X78" s="67"/>
      <c r="Y78" s="67"/>
      <c r="Z78" s="67"/>
      <c r="AA78" s="67"/>
      <c r="AB78" s="69">
        <f t="shared" si="13"/>
        <v>12144.882484472051</v>
      </c>
      <c r="AC78" s="69">
        <f t="shared" si="13"/>
        <v>12144.882484472051</v>
      </c>
      <c r="AD78" s="69"/>
      <c r="AE78" s="69"/>
    </row>
    <row r="79" spans="1:31" s="16" customFormat="1" ht="24.75" customHeight="1" x14ac:dyDescent="0.25">
      <c r="A79" s="65" t="s">
        <v>411</v>
      </c>
      <c r="B79" s="75" t="s">
        <v>354</v>
      </c>
      <c r="C79" s="67">
        <f t="shared" ref="C79:C112" si="16">D79+E79+I79+J79+K79</f>
        <v>326.03999999999996</v>
      </c>
      <c r="D79" s="67">
        <v>326.03999999999996</v>
      </c>
      <c r="E79" s="67">
        <f t="shared" ref="E79:E89" si="17">F79+G79+H79</f>
        <v>0</v>
      </c>
      <c r="F79" s="67"/>
      <c r="G79" s="67"/>
      <c r="H79" s="67"/>
      <c r="I79" s="67"/>
      <c r="J79" s="67"/>
      <c r="K79" s="67">
        <f t="shared" si="15"/>
        <v>0</v>
      </c>
      <c r="L79" s="67"/>
      <c r="M79" s="67"/>
      <c r="N79" s="67">
        <f t="shared" si="12"/>
        <v>326.03999999999996</v>
      </c>
      <c r="O79" s="67">
        <v>326.03999999999996</v>
      </c>
      <c r="P79" s="68">
        <f t="shared" ref="P79:P90" si="18">Q79+R79</f>
        <v>0</v>
      </c>
      <c r="Q79" s="67"/>
      <c r="R79" s="67"/>
      <c r="S79" s="67"/>
      <c r="T79" s="67"/>
      <c r="U79" s="67">
        <f t="shared" si="14"/>
        <v>0</v>
      </c>
      <c r="V79" s="67"/>
      <c r="W79" s="67"/>
      <c r="X79" s="67"/>
      <c r="Y79" s="67"/>
      <c r="Z79" s="67"/>
      <c r="AA79" s="67"/>
      <c r="AB79" s="69">
        <f t="shared" si="13"/>
        <v>100</v>
      </c>
      <c r="AC79" s="69">
        <f t="shared" si="13"/>
        <v>100</v>
      </c>
      <c r="AD79" s="69"/>
      <c r="AE79" s="69"/>
    </row>
    <row r="80" spans="1:31" s="16" customFormat="1" ht="33.75" customHeight="1" x14ac:dyDescent="0.25">
      <c r="A80" s="65" t="s">
        <v>412</v>
      </c>
      <c r="B80" s="75" t="s">
        <v>534</v>
      </c>
      <c r="C80" s="67">
        <f t="shared" si="16"/>
        <v>9740</v>
      </c>
      <c r="D80" s="67"/>
      <c r="E80" s="67">
        <f t="shared" si="17"/>
        <v>9740</v>
      </c>
      <c r="F80" s="67"/>
      <c r="G80" s="67"/>
      <c r="H80" s="67">
        <v>9740</v>
      </c>
      <c r="I80" s="67"/>
      <c r="J80" s="67"/>
      <c r="K80" s="67">
        <f t="shared" si="15"/>
        <v>0</v>
      </c>
      <c r="L80" s="67"/>
      <c r="M80" s="67"/>
      <c r="N80" s="67">
        <f t="shared" ref="N80:N90" si="19">O80+P80+S80+T80+U80</f>
        <v>19177.982877999999</v>
      </c>
      <c r="O80" s="67"/>
      <c r="P80" s="68">
        <f t="shared" si="18"/>
        <v>19177.982877999999</v>
      </c>
      <c r="Q80" s="67"/>
      <c r="R80" s="67">
        <f>134.081403+91+89.616145+97.75279+258.921804+133.065318+128+7937.334546+6704.381632+3603.82924</f>
        <v>19177.982877999999</v>
      </c>
      <c r="S80" s="67"/>
      <c r="T80" s="67"/>
      <c r="U80" s="67">
        <f t="shared" si="14"/>
        <v>0</v>
      </c>
      <c r="V80" s="67"/>
      <c r="W80" s="67"/>
      <c r="X80" s="67"/>
      <c r="Y80" s="67"/>
      <c r="Z80" s="67"/>
      <c r="AA80" s="67"/>
      <c r="AB80" s="69">
        <f t="shared" si="13"/>
        <v>196.89920819301847</v>
      </c>
      <c r="AC80" s="69"/>
      <c r="AD80" s="69">
        <f t="shared" ref="AD80:AD110" si="20">P80/E80%</f>
        <v>196.89920819301847</v>
      </c>
      <c r="AE80" s="69"/>
    </row>
    <row r="81" spans="1:31" s="16" customFormat="1" ht="24.75" customHeight="1" x14ac:dyDescent="0.25">
      <c r="A81" s="65" t="s">
        <v>413</v>
      </c>
      <c r="B81" s="75" t="s">
        <v>355</v>
      </c>
      <c r="C81" s="67">
        <f t="shared" si="16"/>
        <v>0</v>
      </c>
      <c r="D81" s="67"/>
      <c r="E81" s="67">
        <f t="shared" si="17"/>
        <v>0</v>
      </c>
      <c r="F81" s="67"/>
      <c r="G81" s="67"/>
      <c r="H81" s="67"/>
      <c r="I81" s="67"/>
      <c r="J81" s="67"/>
      <c r="K81" s="67">
        <f t="shared" si="15"/>
        <v>0</v>
      </c>
      <c r="L81" s="67"/>
      <c r="M81" s="67"/>
      <c r="N81" s="67">
        <f t="shared" si="19"/>
        <v>0</v>
      </c>
      <c r="O81" s="67"/>
      <c r="P81" s="68">
        <f t="shared" si="18"/>
        <v>0</v>
      </c>
      <c r="Q81" s="67"/>
      <c r="R81" s="67"/>
      <c r="S81" s="67"/>
      <c r="T81" s="67"/>
      <c r="U81" s="67">
        <f t="shared" si="14"/>
        <v>0</v>
      </c>
      <c r="V81" s="67"/>
      <c r="W81" s="67"/>
      <c r="X81" s="67"/>
      <c r="Y81" s="67"/>
      <c r="Z81" s="67"/>
      <c r="AA81" s="67"/>
      <c r="AB81" s="69"/>
      <c r="AC81" s="69"/>
      <c r="AD81" s="69"/>
      <c r="AE81" s="69"/>
    </row>
    <row r="82" spans="1:31" s="16" customFormat="1" ht="24.75" customHeight="1" x14ac:dyDescent="0.25">
      <c r="A82" s="65" t="s">
        <v>414</v>
      </c>
      <c r="B82" s="75" t="s">
        <v>356</v>
      </c>
      <c r="C82" s="67">
        <f t="shared" si="16"/>
        <v>0</v>
      </c>
      <c r="D82" s="67"/>
      <c r="E82" s="67">
        <f t="shared" si="17"/>
        <v>0</v>
      </c>
      <c r="F82" s="67"/>
      <c r="G82" s="67"/>
      <c r="H82" s="67"/>
      <c r="I82" s="67"/>
      <c r="J82" s="67"/>
      <c r="K82" s="67">
        <f t="shared" si="15"/>
        <v>0</v>
      </c>
      <c r="L82" s="67"/>
      <c r="M82" s="67"/>
      <c r="N82" s="67">
        <f t="shared" si="19"/>
        <v>0</v>
      </c>
      <c r="O82" s="67"/>
      <c r="P82" s="68">
        <f t="shared" si="18"/>
        <v>0</v>
      </c>
      <c r="Q82" s="67"/>
      <c r="R82" s="67"/>
      <c r="S82" s="67"/>
      <c r="T82" s="67"/>
      <c r="U82" s="67">
        <f t="shared" si="14"/>
        <v>0</v>
      </c>
      <c r="V82" s="67"/>
      <c r="W82" s="67"/>
      <c r="X82" s="67"/>
      <c r="Y82" s="67"/>
      <c r="Z82" s="67"/>
      <c r="AA82" s="67"/>
      <c r="AB82" s="69"/>
      <c r="AC82" s="69"/>
      <c r="AD82" s="69"/>
      <c r="AE82" s="69"/>
    </row>
    <row r="83" spans="1:31" s="16" customFormat="1" ht="24.75" customHeight="1" x14ac:dyDescent="0.25">
      <c r="A83" s="65" t="s">
        <v>415</v>
      </c>
      <c r="B83" s="77" t="s">
        <v>535</v>
      </c>
      <c r="C83" s="67">
        <f t="shared" si="16"/>
        <v>37981</v>
      </c>
      <c r="D83" s="67"/>
      <c r="E83" s="67">
        <f t="shared" si="17"/>
        <v>37981</v>
      </c>
      <c r="F83" s="67"/>
      <c r="G83" s="67"/>
      <c r="H83" s="67">
        <f>29575+6381+726+1299</f>
        <v>37981</v>
      </c>
      <c r="I83" s="67"/>
      <c r="J83" s="67"/>
      <c r="K83" s="67">
        <f t="shared" si="15"/>
        <v>0</v>
      </c>
      <c r="L83" s="67"/>
      <c r="M83" s="67"/>
      <c r="N83" s="67">
        <f t="shared" si="19"/>
        <v>246561.49835000001</v>
      </c>
      <c r="O83" s="67"/>
      <c r="P83" s="68">
        <f t="shared" si="18"/>
        <v>246561.49835000001</v>
      </c>
      <c r="Q83" s="67"/>
      <c r="R83" s="67">
        <v>246561.49835000001</v>
      </c>
      <c r="S83" s="67"/>
      <c r="T83" s="67"/>
      <c r="U83" s="67">
        <f t="shared" si="14"/>
        <v>0</v>
      </c>
      <c r="V83" s="67"/>
      <c r="W83" s="67"/>
      <c r="X83" s="67"/>
      <c r="Y83" s="67"/>
      <c r="Z83" s="67"/>
      <c r="AA83" s="67"/>
      <c r="AB83" s="69">
        <f t="shared" si="13"/>
        <v>649.17063360627685</v>
      </c>
      <c r="AC83" s="69"/>
      <c r="AD83" s="69">
        <f t="shared" si="20"/>
        <v>649.17063360627685</v>
      </c>
      <c r="AE83" s="69"/>
    </row>
    <row r="84" spans="1:31" s="16" customFormat="1" ht="24.75" customHeight="1" x14ac:dyDescent="0.25">
      <c r="A84" s="65" t="s">
        <v>416</v>
      </c>
      <c r="B84" s="75" t="s">
        <v>357</v>
      </c>
      <c r="C84" s="67">
        <f t="shared" si="16"/>
        <v>0</v>
      </c>
      <c r="D84" s="67"/>
      <c r="E84" s="67">
        <f t="shared" si="17"/>
        <v>0</v>
      </c>
      <c r="F84" s="67"/>
      <c r="G84" s="67"/>
      <c r="H84" s="67"/>
      <c r="I84" s="67"/>
      <c r="J84" s="67"/>
      <c r="K84" s="67">
        <f t="shared" si="15"/>
        <v>0</v>
      </c>
      <c r="L84" s="67"/>
      <c r="M84" s="67"/>
      <c r="N84" s="67">
        <f t="shared" si="19"/>
        <v>0</v>
      </c>
      <c r="O84" s="67"/>
      <c r="P84" s="68">
        <f t="shared" si="18"/>
        <v>0</v>
      </c>
      <c r="Q84" s="67"/>
      <c r="R84" s="67"/>
      <c r="S84" s="67"/>
      <c r="T84" s="67"/>
      <c r="U84" s="67">
        <f t="shared" si="14"/>
        <v>0</v>
      </c>
      <c r="V84" s="67"/>
      <c r="W84" s="67"/>
      <c r="X84" s="67"/>
      <c r="Y84" s="67"/>
      <c r="Z84" s="67"/>
      <c r="AA84" s="67"/>
      <c r="AB84" s="69"/>
      <c r="AC84" s="69"/>
      <c r="AD84" s="69"/>
      <c r="AE84" s="69"/>
    </row>
    <row r="85" spans="1:31" s="16" customFormat="1" ht="24.75" customHeight="1" x14ac:dyDescent="0.25">
      <c r="A85" s="65" t="s">
        <v>417</v>
      </c>
      <c r="B85" s="75" t="s">
        <v>358</v>
      </c>
      <c r="C85" s="67">
        <f t="shared" si="16"/>
        <v>0</v>
      </c>
      <c r="D85" s="67"/>
      <c r="E85" s="67">
        <f t="shared" si="17"/>
        <v>0</v>
      </c>
      <c r="F85" s="67"/>
      <c r="G85" s="67"/>
      <c r="H85" s="67"/>
      <c r="I85" s="67"/>
      <c r="J85" s="67"/>
      <c r="K85" s="67">
        <f t="shared" si="15"/>
        <v>0</v>
      </c>
      <c r="L85" s="67"/>
      <c r="M85" s="67"/>
      <c r="N85" s="67">
        <f t="shared" si="19"/>
        <v>0</v>
      </c>
      <c r="O85" s="67"/>
      <c r="P85" s="68">
        <f t="shared" si="18"/>
        <v>0</v>
      </c>
      <c r="Q85" s="67"/>
      <c r="R85" s="67"/>
      <c r="S85" s="67"/>
      <c r="T85" s="67"/>
      <c r="U85" s="67">
        <f t="shared" si="14"/>
        <v>0</v>
      </c>
      <c r="V85" s="67"/>
      <c r="W85" s="67"/>
      <c r="X85" s="67"/>
      <c r="Y85" s="67"/>
      <c r="Z85" s="67"/>
      <c r="AA85" s="67"/>
      <c r="AB85" s="69"/>
      <c r="AC85" s="69"/>
      <c r="AD85" s="69"/>
      <c r="AE85" s="69"/>
    </row>
    <row r="86" spans="1:31" s="16" customFormat="1" ht="24.75" customHeight="1" x14ac:dyDescent="0.25">
      <c r="A86" s="65" t="s">
        <v>418</v>
      </c>
      <c r="B86" s="75" t="s">
        <v>359</v>
      </c>
      <c r="C86" s="67">
        <f t="shared" si="16"/>
        <v>0</v>
      </c>
      <c r="D86" s="67"/>
      <c r="E86" s="67">
        <f t="shared" si="17"/>
        <v>0</v>
      </c>
      <c r="F86" s="67"/>
      <c r="G86" s="67"/>
      <c r="H86" s="67"/>
      <c r="I86" s="67"/>
      <c r="J86" s="67"/>
      <c r="K86" s="67">
        <f t="shared" si="15"/>
        <v>0</v>
      </c>
      <c r="L86" s="67"/>
      <c r="M86" s="67"/>
      <c r="N86" s="67">
        <f t="shared" si="19"/>
        <v>0</v>
      </c>
      <c r="O86" s="67"/>
      <c r="P86" s="68">
        <f t="shared" si="18"/>
        <v>0</v>
      </c>
      <c r="Q86" s="67"/>
      <c r="R86" s="67"/>
      <c r="S86" s="67"/>
      <c r="T86" s="67"/>
      <c r="U86" s="67">
        <f t="shared" si="14"/>
        <v>0</v>
      </c>
      <c r="V86" s="67"/>
      <c r="W86" s="67"/>
      <c r="X86" s="67"/>
      <c r="Y86" s="67"/>
      <c r="Z86" s="67"/>
      <c r="AA86" s="67"/>
      <c r="AB86" s="69"/>
      <c r="AC86" s="69"/>
      <c r="AD86" s="69"/>
      <c r="AE86" s="69"/>
    </row>
    <row r="87" spans="1:31" s="16" customFormat="1" ht="24.75" customHeight="1" x14ac:dyDescent="0.25">
      <c r="A87" s="65" t="s">
        <v>419</v>
      </c>
      <c r="B87" s="75" t="s">
        <v>360</v>
      </c>
      <c r="C87" s="67">
        <f t="shared" si="16"/>
        <v>0</v>
      </c>
      <c r="D87" s="67"/>
      <c r="E87" s="67">
        <f t="shared" si="17"/>
        <v>0</v>
      </c>
      <c r="F87" s="67"/>
      <c r="G87" s="67"/>
      <c r="H87" s="67"/>
      <c r="I87" s="67"/>
      <c r="J87" s="67"/>
      <c r="K87" s="67">
        <f t="shared" si="15"/>
        <v>0</v>
      </c>
      <c r="L87" s="67"/>
      <c r="M87" s="67"/>
      <c r="N87" s="67">
        <f t="shared" si="19"/>
        <v>0</v>
      </c>
      <c r="O87" s="67"/>
      <c r="P87" s="68">
        <f t="shared" si="18"/>
        <v>0</v>
      </c>
      <c r="Q87" s="67"/>
      <c r="R87" s="67"/>
      <c r="S87" s="67"/>
      <c r="T87" s="67"/>
      <c r="U87" s="67">
        <f t="shared" si="14"/>
        <v>0</v>
      </c>
      <c r="V87" s="67"/>
      <c r="W87" s="67"/>
      <c r="X87" s="67"/>
      <c r="Y87" s="67"/>
      <c r="Z87" s="67"/>
      <c r="AA87" s="67"/>
      <c r="AB87" s="69"/>
      <c r="AC87" s="69"/>
      <c r="AD87" s="69"/>
      <c r="AE87" s="69"/>
    </row>
    <row r="88" spans="1:31" s="16" customFormat="1" ht="24.75" customHeight="1" x14ac:dyDescent="0.25">
      <c r="A88" s="65" t="s">
        <v>420</v>
      </c>
      <c r="B88" s="75" t="s">
        <v>361</v>
      </c>
      <c r="C88" s="67">
        <f t="shared" si="16"/>
        <v>958</v>
      </c>
      <c r="D88" s="67"/>
      <c r="E88" s="67">
        <f t="shared" si="17"/>
        <v>958</v>
      </c>
      <c r="F88" s="67"/>
      <c r="G88" s="67"/>
      <c r="H88" s="67">
        <v>958</v>
      </c>
      <c r="I88" s="67"/>
      <c r="J88" s="67"/>
      <c r="K88" s="67">
        <f t="shared" si="15"/>
        <v>0</v>
      </c>
      <c r="L88" s="67"/>
      <c r="M88" s="67"/>
      <c r="N88" s="67">
        <f t="shared" si="19"/>
        <v>0</v>
      </c>
      <c r="O88" s="67"/>
      <c r="P88" s="68">
        <f t="shared" si="18"/>
        <v>0</v>
      </c>
      <c r="Q88" s="67"/>
      <c r="R88" s="67"/>
      <c r="S88" s="67"/>
      <c r="T88" s="67"/>
      <c r="U88" s="67">
        <f t="shared" si="14"/>
        <v>0</v>
      </c>
      <c r="V88" s="67"/>
      <c r="W88" s="67"/>
      <c r="X88" s="67"/>
      <c r="Y88" s="67"/>
      <c r="Z88" s="67"/>
      <c r="AA88" s="67"/>
      <c r="AB88" s="69"/>
      <c r="AC88" s="69"/>
      <c r="AD88" s="69">
        <f t="shared" si="20"/>
        <v>0</v>
      </c>
      <c r="AE88" s="69"/>
    </row>
    <row r="89" spans="1:31" s="16" customFormat="1" ht="49.5" customHeight="1" x14ac:dyDescent="0.25">
      <c r="A89" s="65" t="s">
        <v>536</v>
      </c>
      <c r="B89" s="75" t="s">
        <v>362</v>
      </c>
      <c r="C89" s="67">
        <f t="shared" si="16"/>
        <v>1656</v>
      </c>
      <c r="D89" s="67"/>
      <c r="E89" s="67">
        <f t="shared" si="17"/>
        <v>1656</v>
      </c>
      <c r="F89" s="67"/>
      <c r="G89" s="67">
        <v>668</v>
      </c>
      <c r="H89" s="67">
        <v>988</v>
      </c>
      <c r="I89" s="67"/>
      <c r="J89" s="67"/>
      <c r="K89" s="67"/>
      <c r="L89" s="67"/>
      <c r="M89" s="67"/>
      <c r="N89" s="67"/>
      <c r="O89" s="67"/>
      <c r="P89" s="68">
        <f t="shared" si="18"/>
        <v>0</v>
      </c>
      <c r="Q89" s="67"/>
      <c r="R89" s="67"/>
      <c r="S89" s="67"/>
      <c r="T89" s="67"/>
      <c r="U89" s="67"/>
      <c r="V89" s="67"/>
      <c r="W89" s="67"/>
      <c r="X89" s="67"/>
      <c r="Y89" s="67"/>
      <c r="Z89" s="67"/>
      <c r="AA89" s="67"/>
      <c r="AB89" s="69"/>
      <c r="AC89" s="69"/>
      <c r="AD89" s="69">
        <f t="shared" si="20"/>
        <v>0</v>
      </c>
      <c r="AE89" s="69"/>
    </row>
    <row r="90" spans="1:31" s="16" customFormat="1" ht="37.5" customHeight="1" x14ac:dyDescent="0.25">
      <c r="A90" s="65" t="s">
        <v>537</v>
      </c>
      <c r="B90" s="75" t="s">
        <v>538</v>
      </c>
      <c r="C90" s="67">
        <f t="shared" si="16"/>
        <v>820252.01133000001</v>
      </c>
      <c r="D90" s="67">
        <v>820252.01133000001</v>
      </c>
      <c r="E90" s="67">
        <f>F90+G90+H90</f>
        <v>0</v>
      </c>
      <c r="F90" s="67"/>
      <c r="G90" s="67"/>
      <c r="H90" s="67"/>
      <c r="I90" s="67"/>
      <c r="J90" s="67"/>
      <c r="K90" s="67">
        <f t="shared" si="15"/>
        <v>0</v>
      </c>
      <c r="L90" s="67"/>
      <c r="M90" s="67"/>
      <c r="N90" s="67">
        <f t="shared" si="19"/>
        <v>52387.741642000001</v>
      </c>
      <c r="O90" s="67">
        <f>42004.990421+9596</f>
        <v>51600.990421000002</v>
      </c>
      <c r="P90" s="68">
        <f t="shared" si="18"/>
        <v>786.75122099999999</v>
      </c>
      <c r="Q90" s="67"/>
      <c r="R90" s="67">
        <f>15+18+16+14+13+13+19+537.751221+13+108+20</f>
        <v>786.75122099999999</v>
      </c>
      <c r="S90" s="67"/>
      <c r="T90" s="67"/>
      <c r="U90" s="67">
        <f t="shared" si="14"/>
        <v>0</v>
      </c>
      <c r="V90" s="67"/>
      <c r="W90" s="67"/>
      <c r="X90" s="67"/>
      <c r="Y90" s="67"/>
      <c r="Z90" s="67"/>
      <c r="AA90" s="67"/>
      <c r="AB90" s="69">
        <f t="shared" si="13"/>
        <v>6.3867861240663997</v>
      </c>
      <c r="AC90" s="69">
        <f t="shared" si="13"/>
        <v>6.290870331098783</v>
      </c>
      <c r="AD90" s="69"/>
      <c r="AE90" s="69"/>
    </row>
    <row r="91" spans="1:31" s="36" customFormat="1" ht="58.5" customHeight="1" x14ac:dyDescent="0.25">
      <c r="A91" s="79" t="s">
        <v>363</v>
      </c>
      <c r="B91" s="80" t="s">
        <v>364</v>
      </c>
      <c r="C91" s="61">
        <f t="shared" si="16"/>
        <v>385185.23499999999</v>
      </c>
      <c r="D91" s="61">
        <f>SUM(D92:D102)</f>
        <v>385185.23499999999</v>
      </c>
      <c r="E91" s="61">
        <f t="shared" ref="E91" si="21">SUM(E92:E101)</f>
        <v>0</v>
      </c>
      <c r="F91" s="61"/>
      <c r="G91" s="61"/>
      <c r="H91" s="61"/>
      <c r="I91" s="61">
        <f>SUM(I92:I101)</f>
        <v>0</v>
      </c>
      <c r="J91" s="61">
        <f>SUM(J92:J101)</f>
        <v>0</v>
      </c>
      <c r="K91" s="61">
        <f t="shared" si="15"/>
        <v>0</v>
      </c>
      <c r="L91" s="61">
        <f>SUM(L92:L102)</f>
        <v>0</v>
      </c>
      <c r="M91" s="61">
        <f>SUM(M92:M101)</f>
        <v>0</v>
      </c>
      <c r="N91" s="61">
        <f>O91+P91+S91+T91+U91</f>
        <v>380660.08185799996</v>
      </c>
      <c r="O91" s="61">
        <f>SUM(O92:O102)</f>
        <v>344089.47438899998</v>
      </c>
      <c r="P91" s="61"/>
      <c r="Q91" s="61"/>
      <c r="R91" s="61"/>
      <c r="S91" s="61"/>
      <c r="T91" s="61"/>
      <c r="U91" s="61">
        <f t="shared" ref="U91" si="22">SUM(U92:U101)</f>
        <v>36570.607468999995</v>
      </c>
      <c r="V91" s="61">
        <f>SUM(V92:V102)</f>
        <v>36570.607468999995</v>
      </c>
      <c r="W91" s="61"/>
      <c r="X91" s="61">
        <f t="shared" ref="X91:Z91" si="23">SUM(X92:X102)</f>
        <v>0</v>
      </c>
      <c r="Y91" s="61">
        <f t="shared" si="23"/>
        <v>0</v>
      </c>
      <c r="Z91" s="61">
        <f t="shared" si="23"/>
        <v>0</v>
      </c>
      <c r="AA91" s="61"/>
      <c r="AB91" s="69">
        <f t="shared" ref="AB91:AC116" si="24">N91/C91%</f>
        <v>98.825200778529322</v>
      </c>
      <c r="AC91" s="69">
        <f t="shared" si="24"/>
        <v>89.330909682714093</v>
      </c>
      <c r="AD91" s="69"/>
      <c r="AE91" s="69"/>
    </row>
    <row r="92" spans="1:31" s="16" customFormat="1" x14ac:dyDescent="0.25">
      <c r="A92" s="81" t="s">
        <v>259</v>
      </c>
      <c r="B92" s="82" t="s">
        <v>365</v>
      </c>
      <c r="C92" s="67">
        <f t="shared" si="16"/>
        <v>5678.8280000000004</v>
      </c>
      <c r="D92" s="68">
        <v>5678.8280000000004</v>
      </c>
      <c r="E92" s="68"/>
      <c r="F92" s="68"/>
      <c r="G92" s="68"/>
      <c r="H92" s="68"/>
      <c r="I92" s="68"/>
      <c r="J92" s="68"/>
      <c r="K92" s="67">
        <f t="shared" si="15"/>
        <v>0</v>
      </c>
      <c r="L92" s="68"/>
      <c r="M92" s="68"/>
      <c r="N92" s="67">
        <f t="shared" ref="N92:N99" si="25">O92+P92+S92+T92+U92</f>
        <v>6332.4467159999995</v>
      </c>
      <c r="O92" s="68">
        <v>6332.4467159999995</v>
      </c>
      <c r="P92" s="68"/>
      <c r="Q92" s="68"/>
      <c r="R92" s="68"/>
      <c r="S92" s="68"/>
      <c r="T92" s="68"/>
      <c r="U92" s="67">
        <f t="shared" ref="U92:U101" si="26">V92+W92</f>
        <v>0</v>
      </c>
      <c r="V92" s="68"/>
      <c r="W92" s="68"/>
      <c r="X92" s="67">
        <f t="shared" ref="X92:X101" si="27">Y92+Z92</f>
        <v>0</v>
      </c>
      <c r="Y92" s="67"/>
      <c r="Z92" s="67"/>
      <c r="AA92" s="67"/>
      <c r="AB92" s="69">
        <f t="shared" si="24"/>
        <v>111.50974665899369</v>
      </c>
      <c r="AC92" s="69">
        <f t="shared" si="24"/>
        <v>111.50974665899369</v>
      </c>
      <c r="AD92" s="69"/>
      <c r="AE92" s="69"/>
    </row>
    <row r="93" spans="1:31" s="16" customFormat="1" x14ac:dyDescent="0.25">
      <c r="A93" s="81" t="s">
        <v>261</v>
      </c>
      <c r="B93" s="82" t="s">
        <v>366</v>
      </c>
      <c r="C93" s="67">
        <f t="shared" si="16"/>
        <v>5950.3130000000001</v>
      </c>
      <c r="D93" s="68">
        <v>5950.3130000000001</v>
      </c>
      <c r="E93" s="68"/>
      <c r="F93" s="68"/>
      <c r="G93" s="68"/>
      <c r="H93" s="68"/>
      <c r="I93" s="68"/>
      <c r="J93" s="68"/>
      <c r="K93" s="67">
        <f t="shared" si="15"/>
        <v>0</v>
      </c>
      <c r="L93" s="68"/>
      <c r="M93" s="68"/>
      <c r="N93" s="67">
        <f t="shared" si="25"/>
        <v>18744.647000000001</v>
      </c>
      <c r="O93" s="68">
        <v>18744.647000000001</v>
      </c>
      <c r="P93" s="68"/>
      <c r="Q93" s="68"/>
      <c r="R93" s="68"/>
      <c r="S93" s="68"/>
      <c r="T93" s="68"/>
      <c r="U93" s="67">
        <f t="shared" si="26"/>
        <v>0</v>
      </c>
      <c r="V93" s="68"/>
      <c r="W93" s="68"/>
      <c r="X93" s="67">
        <f t="shared" si="27"/>
        <v>0</v>
      </c>
      <c r="Y93" s="67"/>
      <c r="Z93" s="67"/>
      <c r="AA93" s="67"/>
      <c r="AB93" s="69">
        <f t="shared" si="24"/>
        <v>315.01951241892658</v>
      </c>
      <c r="AC93" s="69">
        <f t="shared" si="24"/>
        <v>315.01951241892658</v>
      </c>
      <c r="AD93" s="69"/>
      <c r="AE93" s="69"/>
    </row>
    <row r="94" spans="1:31" s="16" customFormat="1" x14ac:dyDescent="0.25">
      <c r="A94" s="81" t="s">
        <v>263</v>
      </c>
      <c r="B94" s="82" t="s">
        <v>367</v>
      </c>
      <c r="C94" s="67">
        <f t="shared" si="16"/>
        <v>50795</v>
      </c>
      <c r="D94" s="68">
        <v>50795</v>
      </c>
      <c r="E94" s="68"/>
      <c r="F94" s="68"/>
      <c r="G94" s="68"/>
      <c r="H94" s="68"/>
      <c r="I94" s="68"/>
      <c r="J94" s="68"/>
      <c r="K94" s="67">
        <f t="shared" si="15"/>
        <v>0</v>
      </c>
      <c r="L94" s="68"/>
      <c r="M94" s="68"/>
      <c r="N94" s="67">
        <f t="shared" si="25"/>
        <v>73703.502382999999</v>
      </c>
      <c r="O94" s="68">
        <v>61930.565769000001</v>
      </c>
      <c r="P94" s="68"/>
      <c r="Q94" s="68"/>
      <c r="R94" s="68"/>
      <c r="S94" s="68"/>
      <c r="T94" s="68"/>
      <c r="U94" s="67">
        <f t="shared" si="26"/>
        <v>11772.936614</v>
      </c>
      <c r="V94" s="68">
        <v>11772.936614</v>
      </c>
      <c r="W94" s="68"/>
      <c r="X94" s="67">
        <f t="shared" si="27"/>
        <v>0</v>
      </c>
      <c r="Y94" s="67"/>
      <c r="Z94" s="67"/>
      <c r="AA94" s="67"/>
      <c r="AB94" s="69">
        <f t="shared" si="24"/>
        <v>145.09991610000984</v>
      </c>
      <c r="AC94" s="69">
        <f t="shared" si="24"/>
        <v>121.92256278964466</v>
      </c>
      <c r="AD94" s="69"/>
      <c r="AE94" s="69"/>
    </row>
    <row r="95" spans="1:31" s="16" customFormat="1" x14ac:dyDescent="0.25">
      <c r="A95" s="81" t="s">
        <v>265</v>
      </c>
      <c r="B95" s="82" t="s">
        <v>368</v>
      </c>
      <c r="C95" s="67">
        <f t="shared" si="16"/>
        <v>122782.913</v>
      </c>
      <c r="D95" s="68">
        <v>122782.913</v>
      </c>
      <c r="E95" s="68"/>
      <c r="F95" s="68"/>
      <c r="G95" s="68"/>
      <c r="H95" s="68"/>
      <c r="I95" s="68"/>
      <c r="J95" s="68"/>
      <c r="K95" s="67">
        <f t="shared" si="15"/>
        <v>0</v>
      </c>
      <c r="L95" s="68"/>
      <c r="M95" s="68"/>
      <c r="N95" s="67">
        <f t="shared" si="25"/>
        <v>117971.10799999999</v>
      </c>
      <c r="O95" s="68">
        <v>117971.10799999999</v>
      </c>
      <c r="P95" s="68"/>
      <c r="Q95" s="68"/>
      <c r="R95" s="68"/>
      <c r="S95" s="68"/>
      <c r="T95" s="68"/>
      <c r="U95" s="67">
        <f t="shared" si="26"/>
        <v>0</v>
      </c>
      <c r="V95" s="68">
        <v>0</v>
      </c>
      <c r="W95" s="68"/>
      <c r="X95" s="67">
        <f t="shared" si="27"/>
        <v>0</v>
      </c>
      <c r="Y95" s="67"/>
      <c r="Z95" s="67"/>
      <c r="AA95" s="67"/>
      <c r="AB95" s="69">
        <f t="shared" si="24"/>
        <v>96.081046716980879</v>
      </c>
      <c r="AC95" s="69">
        <f t="shared" si="24"/>
        <v>96.081046716980879</v>
      </c>
      <c r="AD95" s="69"/>
      <c r="AE95" s="69"/>
    </row>
    <row r="96" spans="1:31" s="16" customFormat="1" x14ac:dyDescent="0.25">
      <c r="A96" s="81" t="s">
        <v>267</v>
      </c>
      <c r="B96" s="82" t="s">
        <v>369</v>
      </c>
      <c r="C96" s="67">
        <f t="shared" si="16"/>
        <v>48400</v>
      </c>
      <c r="D96" s="68">
        <v>48400</v>
      </c>
      <c r="E96" s="68"/>
      <c r="F96" s="68"/>
      <c r="G96" s="68"/>
      <c r="H96" s="68"/>
      <c r="I96" s="68"/>
      <c r="J96" s="68"/>
      <c r="K96" s="67">
        <f t="shared" si="15"/>
        <v>0</v>
      </c>
      <c r="L96" s="68"/>
      <c r="M96" s="68"/>
      <c r="N96" s="67">
        <f t="shared" si="25"/>
        <v>9896.1823089999998</v>
      </c>
      <c r="O96" s="68">
        <v>9896.1823089999998</v>
      </c>
      <c r="P96" s="68"/>
      <c r="Q96" s="68"/>
      <c r="R96" s="68"/>
      <c r="S96" s="68"/>
      <c r="T96" s="68"/>
      <c r="U96" s="67">
        <f t="shared" si="26"/>
        <v>0</v>
      </c>
      <c r="V96" s="68">
        <v>0</v>
      </c>
      <c r="W96" s="68"/>
      <c r="X96" s="67">
        <f t="shared" si="27"/>
        <v>0</v>
      </c>
      <c r="Y96" s="67"/>
      <c r="Z96" s="67"/>
      <c r="AA96" s="67"/>
      <c r="AB96" s="69">
        <f t="shared" si="24"/>
        <v>20.446657663223139</v>
      </c>
      <c r="AC96" s="69">
        <f t="shared" si="24"/>
        <v>20.446657663223139</v>
      </c>
      <c r="AD96" s="69"/>
      <c r="AE96" s="69"/>
    </row>
    <row r="97" spans="1:38" s="16" customFormat="1" x14ac:dyDescent="0.25">
      <c r="A97" s="81" t="s">
        <v>269</v>
      </c>
      <c r="B97" s="82" t="s">
        <v>370</v>
      </c>
      <c r="C97" s="67">
        <f t="shared" si="16"/>
        <v>500</v>
      </c>
      <c r="D97" s="68">
        <v>500</v>
      </c>
      <c r="E97" s="68"/>
      <c r="F97" s="68"/>
      <c r="G97" s="68"/>
      <c r="H97" s="68"/>
      <c r="I97" s="68"/>
      <c r="J97" s="68"/>
      <c r="K97" s="67">
        <f t="shared" si="15"/>
        <v>0</v>
      </c>
      <c r="L97" s="68"/>
      <c r="M97" s="68"/>
      <c r="N97" s="67">
        <f t="shared" si="25"/>
        <v>0</v>
      </c>
      <c r="O97" s="68"/>
      <c r="P97" s="68"/>
      <c r="Q97" s="68"/>
      <c r="R97" s="68"/>
      <c r="S97" s="68"/>
      <c r="T97" s="68"/>
      <c r="U97" s="67">
        <f t="shared" si="26"/>
        <v>0</v>
      </c>
      <c r="V97" s="68">
        <v>0</v>
      </c>
      <c r="W97" s="68"/>
      <c r="X97" s="67">
        <f t="shared" si="27"/>
        <v>0</v>
      </c>
      <c r="Y97" s="67"/>
      <c r="Z97" s="67"/>
      <c r="AA97" s="67"/>
      <c r="AB97" s="69">
        <f t="shared" si="24"/>
        <v>0</v>
      </c>
      <c r="AC97" s="69">
        <f t="shared" si="24"/>
        <v>0</v>
      </c>
      <c r="AD97" s="69"/>
      <c r="AE97" s="69"/>
    </row>
    <row r="98" spans="1:38" s="16" customFormat="1" x14ac:dyDescent="0.25">
      <c r="A98" s="81" t="s">
        <v>271</v>
      </c>
      <c r="B98" s="82" t="s">
        <v>371</v>
      </c>
      <c r="C98" s="67">
        <f t="shared" si="16"/>
        <v>74852</v>
      </c>
      <c r="D98" s="68">
        <v>74852</v>
      </c>
      <c r="E98" s="68"/>
      <c r="F98" s="68"/>
      <c r="G98" s="68"/>
      <c r="H98" s="68"/>
      <c r="I98" s="68"/>
      <c r="J98" s="68"/>
      <c r="K98" s="67">
        <f t="shared" si="15"/>
        <v>0</v>
      </c>
      <c r="L98" s="68"/>
      <c r="M98" s="68"/>
      <c r="N98" s="67">
        <f t="shared" si="25"/>
        <v>71369.936602000002</v>
      </c>
      <c r="O98" s="68">
        <v>70068.1587</v>
      </c>
      <c r="P98" s="68"/>
      <c r="Q98" s="68"/>
      <c r="R98" s="68"/>
      <c r="S98" s="68"/>
      <c r="T98" s="68"/>
      <c r="U98" s="67">
        <f t="shared" si="26"/>
        <v>1301.777902</v>
      </c>
      <c r="V98" s="68">
        <v>1301.777902</v>
      </c>
      <c r="W98" s="68"/>
      <c r="X98" s="67">
        <f t="shared" si="27"/>
        <v>0</v>
      </c>
      <c r="Y98" s="67"/>
      <c r="Z98" s="67"/>
      <c r="AA98" s="67"/>
      <c r="AB98" s="69">
        <f t="shared" si="24"/>
        <v>95.348068992144505</v>
      </c>
      <c r="AC98" s="69">
        <f t="shared" si="24"/>
        <v>93.608933228237063</v>
      </c>
      <c r="AD98" s="69"/>
      <c r="AE98" s="69"/>
      <c r="AI98" s="36"/>
      <c r="AJ98" s="36"/>
      <c r="AK98" s="36"/>
      <c r="AL98" s="36"/>
    </row>
    <row r="99" spans="1:38" s="16" customFormat="1" x14ac:dyDescent="0.25">
      <c r="A99" s="81" t="s">
        <v>273</v>
      </c>
      <c r="B99" s="82" t="s">
        <v>372</v>
      </c>
      <c r="C99" s="67">
        <f t="shared" si="16"/>
        <v>58814.180999999997</v>
      </c>
      <c r="D99" s="68">
        <v>58814.180999999997</v>
      </c>
      <c r="E99" s="68"/>
      <c r="F99" s="68"/>
      <c r="G99" s="68"/>
      <c r="H99" s="68"/>
      <c r="I99" s="68"/>
      <c r="J99" s="68"/>
      <c r="K99" s="67">
        <f t="shared" si="15"/>
        <v>0</v>
      </c>
      <c r="L99" s="68"/>
      <c r="M99" s="68"/>
      <c r="N99" s="67">
        <f t="shared" si="25"/>
        <v>37109.549999999996</v>
      </c>
      <c r="O99" s="68">
        <v>37109.549999999996</v>
      </c>
      <c r="P99" s="68"/>
      <c r="Q99" s="68"/>
      <c r="R99" s="68"/>
      <c r="S99" s="68"/>
      <c r="T99" s="68"/>
      <c r="U99" s="67">
        <f t="shared" si="26"/>
        <v>0</v>
      </c>
      <c r="V99" s="68">
        <v>0</v>
      </c>
      <c r="W99" s="68"/>
      <c r="X99" s="67">
        <f t="shared" si="27"/>
        <v>0</v>
      </c>
      <c r="Y99" s="67"/>
      <c r="Z99" s="67"/>
      <c r="AA99" s="67"/>
      <c r="AB99" s="69">
        <f t="shared" si="24"/>
        <v>63.09626244731691</v>
      </c>
      <c r="AC99" s="69">
        <f t="shared" si="24"/>
        <v>63.09626244731691</v>
      </c>
      <c r="AD99" s="69"/>
      <c r="AE99" s="69"/>
      <c r="AI99" s="36"/>
      <c r="AJ99" s="36"/>
      <c r="AK99" s="36"/>
      <c r="AL99" s="36"/>
    </row>
    <row r="100" spans="1:38" s="16" customFormat="1" x14ac:dyDescent="0.25">
      <c r="A100" s="81" t="s">
        <v>274</v>
      </c>
      <c r="B100" s="82" t="s">
        <v>373</v>
      </c>
      <c r="C100" s="67">
        <f>D100+E100+I100+J100+K100</f>
        <v>16911.999999999996</v>
      </c>
      <c r="D100" s="68">
        <v>16911.999999999996</v>
      </c>
      <c r="E100" s="68"/>
      <c r="F100" s="68"/>
      <c r="G100" s="68"/>
      <c r="H100" s="68"/>
      <c r="I100" s="68"/>
      <c r="J100" s="68"/>
      <c r="K100" s="67">
        <f t="shared" si="15"/>
        <v>0</v>
      </c>
      <c r="L100" s="68"/>
      <c r="M100" s="68"/>
      <c r="N100" s="67">
        <f t="shared" ref="N100:N101" si="28">O100+P100+S100+T100+U100+X100</f>
        <v>23495.892952999999</v>
      </c>
      <c r="O100" s="68">
        <v>0</v>
      </c>
      <c r="P100" s="68"/>
      <c r="Q100" s="68"/>
      <c r="R100" s="68"/>
      <c r="S100" s="68"/>
      <c r="T100" s="68"/>
      <c r="U100" s="67">
        <f t="shared" si="26"/>
        <v>23495.892952999999</v>
      </c>
      <c r="V100" s="68">
        <v>23495.892952999999</v>
      </c>
      <c r="W100" s="68"/>
      <c r="X100" s="67">
        <f t="shared" si="27"/>
        <v>0</v>
      </c>
      <c r="Y100" s="67"/>
      <c r="Z100" s="67"/>
      <c r="AA100" s="67"/>
      <c r="AB100" s="69">
        <f t="shared" si="24"/>
        <v>138.93030364829707</v>
      </c>
      <c r="AC100" s="69">
        <f t="shared" si="24"/>
        <v>0</v>
      </c>
      <c r="AD100" s="69"/>
      <c r="AE100" s="69"/>
      <c r="AI100" s="36"/>
      <c r="AJ100" s="36"/>
      <c r="AK100" s="36"/>
      <c r="AL100" s="36"/>
    </row>
    <row r="101" spans="1:38" s="16" customFormat="1" x14ac:dyDescent="0.25">
      <c r="A101" s="81" t="s">
        <v>276</v>
      </c>
      <c r="B101" s="82" t="s">
        <v>374</v>
      </c>
      <c r="C101" s="67">
        <f t="shared" si="16"/>
        <v>500</v>
      </c>
      <c r="D101" s="68">
        <v>500</v>
      </c>
      <c r="E101" s="68"/>
      <c r="F101" s="68"/>
      <c r="G101" s="68"/>
      <c r="H101" s="68"/>
      <c r="I101" s="68"/>
      <c r="J101" s="68"/>
      <c r="K101" s="67">
        <f t="shared" si="15"/>
        <v>0</v>
      </c>
      <c r="L101" s="68"/>
      <c r="M101" s="68"/>
      <c r="N101" s="67">
        <f t="shared" si="28"/>
        <v>22036.815895</v>
      </c>
      <c r="O101" s="68">
        <v>22036.815895</v>
      </c>
      <c r="P101" s="68"/>
      <c r="Q101" s="68"/>
      <c r="R101" s="68"/>
      <c r="S101" s="68"/>
      <c r="T101" s="68"/>
      <c r="U101" s="67">
        <f t="shared" si="26"/>
        <v>0</v>
      </c>
      <c r="V101" s="68"/>
      <c r="W101" s="68"/>
      <c r="X101" s="67">
        <f t="shared" si="27"/>
        <v>0</v>
      </c>
      <c r="Y101" s="67"/>
      <c r="Z101" s="67"/>
      <c r="AA101" s="67"/>
      <c r="AB101" s="69">
        <f t="shared" si="24"/>
        <v>4407.3631789999999</v>
      </c>
      <c r="AC101" s="69">
        <f t="shared" si="24"/>
        <v>4407.3631789999999</v>
      </c>
      <c r="AD101" s="69"/>
      <c r="AE101" s="69"/>
      <c r="AI101" s="36"/>
      <c r="AJ101" s="36"/>
      <c r="AK101" s="36"/>
      <c r="AL101" s="36"/>
    </row>
    <row r="102" spans="1:38" s="16" customFormat="1" x14ac:dyDescent="0.25">
      <c r="A102" s="81">
        <v>11</v>
      </c>
      <c r="B102" s="82" t="s">
        <v>375</v>
      </c>
      <c r="C102" s="67">
        <f t="shared" si="16"/>
        <v>0</v>
      </c>
      <c r="D102" s="68"/>
      <c r="E102" s="68"/>
      <c r="F102" s="68"/>
      <c r="G102" s="68"/>
      <c r="H102" s="68"/>
      <c r="I102" s="68"/>
      <c r="J102" s="68"/>
      <c r="K102" s="67">
        <f t="shared" si="15"/>
        <v>0</v>
      </c>
      <c r="L102" s="68"/>
      <c r="M102" s="68"/>
      <c r="N102" s="67"/>
      <c r="O102" s="68"/>
      <c r="P102" s="68"/>
      <c r="Q102" s="68"/>
      <c r="R102" s="68"/>
      <c r="S102" s="68"/>
      <c r="T102" s="68"/>
      <c r="U102" s="67"/>
      <c r="V102" s="68"/>
      <c r="W102" s="68"/>
      <c r="X102" s="67"/>
      <c r="Y102" s="67"/>
      <c r="Z102" s="67"/>
      <c r="AA102" s="67"/>
      <c r="AB102" s="69"/>
      <c r="AC102" s="69"/>
      <c r="AD102" s="69"/>
      <c r="AE102" s="69"/>
      <c r="AI102" s="36"/>
      <c r="AJ102" s="36"/>
      <c r="AK102" s="36"/>
      <c r="AL102" s="36"/>
    </row>
    <row r="103" spans="1:38" s="36" customFormat="1" x14ac:dyDescent="0.25">
      <c r="A103" s="79" t="s">
        <v>25</v>
      </c>
      <c r="B103" s="83" t="s">
        <v>376</v>
      </c>
      <c r="C103" s="61">
        <f>D103+E103+I103+J103+K103</f>
        <v>73328</v>
      </c>
      <c r="D103" s="84"/>
      <c r="E103" s="84">
        <f>E104+E105+E106+E107+E109+E108+E110</f>
        <v>73328</v>
      </c>
      <c r="F103" s="84">
        <f>F104+F105+F106+F107+F109+F108+F110</f>
        <v>73328</v>
      </c>
      <c r="G103" s="84"/>
      <c r="H103" s="84"/>
      <c r="I103" s="84"/>
      <c r="J103" s="84"/>
      <c r="K103" s="61"/>
      <c r="L103" s="84"/>
      <c r="M103" s="84"/>
      <c r="N103" s="61"/>
      <c r="O103" s="84"/>
      <c r="P103" s="84"/>
      <c r="Q103" s="84"/>
      <c r="R103" s="84"/>
      <c r="S103" s="84"/>
      <c r="T103" s="84"/>
      <c r="U103" s="61"/>
      <c r="V103" s="84"/>
      <c r="W103" s="84"/>
      <c r="X103" s="61"/>
      <c r="Y103" s="61"/>
      <c r="Z103" s="61"/>
      <c r="AA103" s="61"/>
      <c r="AB103" s="69"/>
      <c r="AC103" s="69"/>
      <c r="AD103" s="69">
        <f t="shared" si="20"/>
        <v>0</v>
      </c>
      <c r="AE103" s="69"/>
    </row>
    <row r="104" spans="1:38" s="36" customFormat="1" x14ac:dyDescent="0.25">
      <c r="A104" s="79"/>
      <c r="B104" s="82" t="s">
        <v>377</v>
      </c>
      <c r="C104" s="67">
        <f>D104+E104+I104+J104+K104</f>
        <v>3256</v>
      </c>
      <c r="D104" s="68"/>
      <c r="E104" s="68">
        <f>F104+G104+H104</f>
        <v>3256</v>
      </c>
      <c r="F104" s="68">
        <v>3256</v>
      </c>
      <c r="G104" s="84"/>
      <c r="H104" s="84"/>
      <c r="I104" s="84"/>
      <c r="J104" s="84"/>
      <c r="K104" s="61"/>
      <c r="L104" s="84"/>
      <c r="M104" s="84"/>
      <c r="N104" s="61"/>
      <c r="O104" s="84"/>
      <c r="P104" s="84"/>
      <c r="Q104" s="84"/>
      <c r="R104" s="84"/>
      <c r="S104" s="84"/>
      <c r="T104" s="84"/>
      <c r="U104" s="61"/>
      <c r="V104" s="84"/>
      <c r="W104" s="84"/>
      <c r="X104" s="61"/>
      <c r="Y104" s="61"/>
      <c r="Z104" s="61"/>
      <c r="AA104" s="61"/>
      <c r="AB104" s="69"/>
      <c r="AC104" s="69"/>
      <c r="AD104" s="69">
        <f t="shared" si="20"/>
        <v>0</v>
      </c>
      <c r="AE104" s="69"/>
    </row>
    <row r="105" spans="1:38" s="36" customFormat="1" ht="31.5" x14ac:dyDescent="0.25">
      <c r="A105" s="79"/>
      <c r="B105" s="82" t="s">
        <v>539</v>
      </c>
      <c r="C105" s="67">
        <f>D105+E105+I105+J105+K105</f>
        <v>5000</v>
      </c>
      <c r="D105" s="68"/>
      <c r="E105" s="68">
        <f>F105+G105+H105</f>
        <v>5000</v>
      </c>
      <c r="F105" s="68">
        <v>5000</v>
      </c>
      <c r="G105" s="84"/>
      <c r="H105" s="84"/>
      <c r="I105" s="84"/>
      <c r="J105" s="84"/>
      <c r="K105" s="61"/>
      <c r="L105" s="84"/>
      <c r="M105" s="84"/>
      <c r="N105" s="61"/>
      <c r="O105" s="84"/>
      <c r="P105" s="84"/>
      <c r="Q105" s="84"/>
      <c r="R105" s="84"/>
      <c r="S105" s="84"/>
      <c r="T105" s="84"/>
      <c r="U105" s="61"/>
      <c r="V105" s="84"/>
      <c r="W105" s="84"/>
      <c r="X105" s="61"/>
      <c r="Y105" s="61"/>
      <c r="Z105" s="61"/>
      <c r="AA105" s="61"/>
      <c r="AB105" s="69"/>
      <c r="AC105" s="69"/>
      <c r="AD105" s="69">
        <f t="shared" si="20"/>
        <v>0</v>
      </c>
      <c r="AE105" s="69"/>
    </row>
    <row r="106" spans="1:38" s="36" customFormat="1" x14ac:dyDescent="0.25">
      <c r="A106" s="79"/>
      <c r="B106" s="82" t="s">
        <v>378</v>
      </c>
      <c r="C106" s="67">
        <f t="shared" ref="C106:C110" si="29">D106+E106+I106+J106+K106</f>
        <v>6000</v>
      </c>
      <c r="D106" s="68"/>
      <c r="E106" s="68">
        <f t="shared" ref="E106:E110" si="30">F106+G106+H106</f>
        <v>6000</v>
      </c>
      <c r="F106" s="68">
        <v>6000</v>
      </c>
      <c r="G106" s="84"/>
      <c r="H106" s="84"/>
      <c r="I106" s="84"/>
      <c r="J106" s="84"/>
      <c r="K106" s="61"/>
      <c r="L106" s="84"/>
      <c r="M106" s="84"/>
      <c r="N106" s="61"/>
      <c r="O106" s="84"/>
      <c r="P106" s="84"/>
      <c r="Q106" s="84"/>
      <c r="R106" s="84"/>
      <c r="S106" s="84"/>
      <c r="T106" s="84"/>
      <c r="U106" s="61"/>
      <c r="V106" s="84"/>
      <c r="W106" s="84"/>
      <c r="X106" s="61"/>
      <c r="Y106" s="61"/>
      <c r="Z106" s="61"/>
      <c r="AA106" s="61"/>
      <c r="AB106" s="69"/>
      <c r="AC106" s="69"/>
      <c r="AD106" s="69">
        <f t="shared" si="20"/>
        <v>0</v>
      </c>
      <c r="AE106" s="69"/>
    </row>
    <row r="107" spans="1:38" s="36" customFormat="1" x14ac:dyDescent="0.25">
      <c r="A107" s="79"/>
      <c r="B107" s="82" t="s">
        <v>540</v>
      </c>
      <c r="C107" s="67">
        <f t="shared" si="29"/>
        <v>5000</v>
      </c>
      <c r="D107" s="68"/>
      <c r="E107" s="68">
        <f t="shared" si="30"/>
        <v>5000</v>
      </c>
      <c r="F107" s="68">
        <v>5000</v>
      </c>
      <c r="G107" s="84"/>
      <c r="H107" s="84"/>
      <c r="I107" s="84"/>
      <c r="J107" s="84"/>
      <c r="K107" s="61"/>
      <c r="L107" s="84"/>
      <c r="M107" s="84"/>
      <c r="N107" s="61"/>
      <c r="O107" s="84"/>
      <c r="P107" s="84"/>
      <c r="Q107" s="84"/>
      <c r="R107" s="84"/>
      <c r="S107" s="84"/>
      <c r="T107" s="84"/>
      <c r="U107" s="61"/>
      <c r="V107" s="84"/>
      <c r="W107" s="84"/>
      <c r="X107" s="61"/>
      <c r="Y107" s="61"/>
      <c r="Z107" s="61"/>
      <c r="AA107" s="61"/>
      <c r="AB107" s="69"/>
      <c r="AC107" s="69"/>
      <c r="AD107" s="69">
        <f t="shared" si="20"/>
        <v>0</v>
      </c>
      <c r="AE107" s="69"/>
    </row>
    <row r="108" spans="1:38" s="36" customFormat="1" x14ac:dyDescent="0.25">
      <c r="A108" s="79"/>
      <c r="B108" s="82" t="s">
        <v>541</v>
      </c>
      <c r="C108" s="67">
        <f t="shared" si="29"/>
        <v>10000</v>
      </c>
      <c r="D108" s="68"/>
      <c r="E108" s="68">
        <f t="shared" si="30"/>
        <v>10000</v>
      </c>
      <c r="F108" s="68">
        <v>10000</v>
      </c>
      <c r="G108" s="84"/>
      <c r="H108" s="84"/>
      <c r="I108" s="84"/>
      <c r="J108" s="84"/>
      <c r="K108" s="61"/>
      <c r="L108" s="84"/>
      <c r="M108" s="84"/>
      <c r="N108" s="61"/>
      <c r="O108" s="84"/>
      <c r="P108" s="84"/>
      <c r="Q108" s="84"/>
      <c r="R108" s="84"/>
      <c r="S108" s="84"/>
      <c r="T108" s="84"/>
      <c r="U108" s="61"/>
      <c r="V108" s="84"/>
      <c r="W108" s="84"/>
      <c r="X108" s="61"/>
      <c r="Y108" s="61"/>
      <c r="Z108" s="61"/>
      <c r="AA108" s="61"/>
      <c r="AB108" s="69"/>
      <c r="AC108" s="69"/>
      <c r="AD108" s="69">
        <f t="shared" si="20"/>
        <v>0</v>
      </c>
      <c r="AE108" s="69"/>
    </row>
    <row r="109" spans="1:38" s="36" customFormat="1" x14ac:dyDescent="0.25">
      <c r="A109" s="79"/>
      <c r="B109" s="82" t="s">
        <v>379</v>
      </c>
      <c r="C109" s="67">
        <f t="shared" si="29"/>
        <v>44072</v>
      </c>
      <c r="D109" s="68"/>
      <c r="E109" s="68">
        <f t="shared" si="30"/>
        <v>44072</v>
      </c>
      <c r="F109" s="68">
        <f>47919-3847</f>
        <v>44072</v>
      </c>
      <c r="G109" s="84"/>
      <c r="H109" s="84"/>
      <c r="I109" s="84"/>
      <c r="J109" s="84"/>
      <c r="K109" s="61"/>
      <c r="L109" s="84"/>
      <c r="M109" s="84"/>
      <c r="N109" s="61"/>
      <c r="O109" s="84"/>
      <c r="P109" s="84"/>
      <c r="Q109" s="84"/>
      <c r="R109" s="84"/>
      <c r="S109" s="84"/>
      <c r="T109" s="84"/>
      <c r="U109" s="61"/>
      <c r="V109" s="84"/>
      <c r="W109" s="84"/>
      <c r="X109" s="61"/>
      <c r="Y109" s="61"/>
      <c r="Z109" s="61"/>
      <c r="AA109" s="61"/>
      <c r="AB109" s="69"/>
      <c r="AC109" s="69"/>
      <c r="AD109" s="69">
        <f t="shared" si="20"/>
        <v>0</v>
      </c>
      <c r="AE109" s="69"/>
    </row>
    <row r="110" spans="1:38" s="36" customFormat="1" hidden="1" x14ac:dyDescent="0.25">
      <c r="A110" s="79"/>
      <c r="B110" s="82"/>
      <c r="C110" s="67">
        <f t="shared" si="29"/>
        <v>0</v>
      </c>
      <c r="D110" s="84"/>
      <c r="E110" s="68">
        <f t="shared" si="30"/>
        <v>0</v>
      </c>
      <c r="F110" s="68"/>
      <c r="G110" s="84"/>
      <c r="H110" s="84"/>
      <c r="I110" s="84"/>
      <c r="J110" s="84"/>
      <c r="K110" s="61"/>
      <c r="L110" s="84"/>
      <c r="M110" s="84"/>
      <c r="N110" s="61"/>
      <c r="O110" s="84"/>
      <c r="P110" s="84"/>
      <c r="Q110" s="84"/>
      <c r="R110" s="84"/>
      <c r="S110" s="84"/>
      <c r="T110" s="84"/>
      <c r="U110" s="61"/>
      <c r="V110" s="84"/>
      <c r="W110" s="84"/>
      <c r="X110" s="61"/>
      <c r="Y110" s="61"/>
      <c r="Z110" s="61"/>
      <c r="AA110" s="61"/>
      <c r="AB110" s="69" t="e">
        <f t="shared" si="24"/>
        <v>#DIV/0!</v>
      </c>
      <c r="AC110" s="69" t="e">
        <f t="shared" si="24"/>
        <v>#DIV/0!</v>
      </c>
      <c r="AD110" s="69" t="e">
        <f t="shared" si="20"/>
        <v>#DIV/0!</v>
      </c>
      <c r="AE110" s="69"/>
    </row>
    <row r="111" spans="1:38" s="36" customFormat="1" ht="68.25" customHeight="1" x14ac:dyDescent="0.25">
      <c r="A111" s="85" t="s">
        <v>29</v>
      </c>
      <c r="B111" s="86" t="s">
        <v>542</v>
      </c>
      <c r="C111" s="61">
        <f t="shared" si="16"/>
        <v>2000</v>
      </c>
      <c r="D111" s="84"/>
      <c r="E111" s="84"/>
      <c r="F111" s="84"/>
      <c r="G111" s="84"/>
      <c r="H111" s="84"/>
      <c r="I111" s="84">
        <v>2000</v>
      </c>
      <c r="J111" s="84"/>
      <c r="K111" s="61">
        <f t="shared" si="15"/>
        <v>0</v>
      </c>
      <c r="L111" s="84"/>
      <c r="M111" s="84"/>
      <c r="N111" s="61">
        <f t="shared" ref="N111:N117" si="31">O111+P111+S111+T111+U111+X111</f>
        <v>9500.851999999999</v>
      </c>
      <c r="O111" s="84"/>
      <c r="P111" s="84"/>
      <c r="Q111" s="84"/>
      <c r="R111" s="84"/>
      <c r="S111" s="84">
        <f>'[2]bieu 53_'!G25</f>
        <v>9500.851999999999</v>
      </c>
      <c r="T111" s="84"/>
      <c r="U111" s="61">
        <f t="shared" ref="U111:U118" si="32">V111+W111</f>
        <v>0</v>
      </c>
      <c r="V111" s="84"/>
      <c r="W111" s="84"/>
      <c r="X111" s="61">
        <f>Y111+Z111</f>
        <v>0</v>
      </c>
      <c r="Y111" s="84"/>
      <c r="Z111" s="84"/>
      <c r="AA111" s="84"/>
      <c r="AB111" s="69">
        <f t="shared" si="24"/>
        <v>475.04259999999994</v>
      </c>
      <c r="AC111" s="69"/>
      <c r="AD111" s="69"/>
      <c r="AE111" s="69"/>
    </row>
    <row r="112" spans="1:38" s="36" customFormat="1" ht="21" customHeight="1" x14ac:dyDescent="0.25">
      <c r="A112" s="85" t="s">
        <v>56</v>
      </c>
      <c r="B112" s="86" t="s">
        <v>380</v>
      </c>
      <c r="C112" s="61">
        <f t="shared" si="16"/>
        <v>1000</v>
      </c>
      <c r="D112" s="84"/>
      <c r="E112" s="84"/>
      <c r="F112" s="84"/>
      <c r="G112" s="84"/>
      <c r="H112" s="84"/>
      <c r="I112" s="84"/>
      <c r="J112" s="61">
        <v>1000</v>
      </c>
      <c r="K112" s="61">
        <f t="shared" si="15"/>
        <v>0</v>
      </c>
      <c r="L112" s="84"/>
      <c r="M112" s="84"/>
      <c r="N112" s="61">
        <f t="shared" si="31"/>
        <v>1000</v>
      </c>
      <c r="O112" s="84"/>
      <c r="P112" s="84">
        <f>Q112+R112</f>
        <v>0</v>
      </c>
      <c r="Q112" s="84"/>
      <c r="R112" s="84"/>
      <c r="S112" s="84"/>
      <c r="T112" s="84">
        <f>'[2]bieu 53_'!G26</f>
        <v>1000</v>
      </c>
      <c r="U112" s="61">
        <f t="shared" si="32"/>
        <v>0</v>
      </c>
      <c r="V112" s="84"/>
      <c r="W112" s="84"/>
      <c r="X112" s="61">
        <f>Y112+Z112</f>
        <v>0</v>
      </c>
      <c r="Y112" s="84"/>
      <c r="Z112" s="84"/>
      <c r="AA112" s="84"/>
      <c r="AB112" s="69">
        <f t="shared" si="24"/>
        <v>100</v>
      </c>
      <c r="AC112" s="69"/>
      <c r="AD112" s="69"/>
      <c r="AE112" s="69"/>
      <c r="AI112" s="9"/>
      <c r="AJ112" s="9"/>
      <c r="AK112" s="9"/>
      <c r="AL112" s="9"/>
    </row>
    <row r="113" spans="1:38" s="36" customFormat="1" x14ac:dyDescent="0.25">
      <c r="A113" s="85" t="s">
        <v>73</v>
      </c>
      <c r="B113" s="86" t="s">
        <v>381</v>
      </c>
      <c r="C113" s="61">
        <f>D113+J113+I113+E113+K113</f>
        <v>66785</v>
      </c>
      <c r="D113" s="84"/>
      <c r="F113" s="84"/>
      <c r="G113" s="84"/>
      <c r="H113" s="84"/>
      <c r="I113" s="84"/>
      <c r="J113" s="84">
        <v>66785</v>
      </c>
      <c r="K113" s="61">
        <f t="shared" si="15"/>
        <v>0</v>
      </c>
      <c r="L113" s="84"/>
      <c r="M113" s="84"/>
      <c r="N113" s="61">
        <f t="shared" si="31"/>
        <v>0</v>
      </c>
      <c r="O113" s="84"/>
      <c r="P113" s="84"/>
      <c r="Q113" s="84"/>
      <c r="R113" s="84"/>
      <c r="S113" s="84"/>
      <c r="T113" s="84"/>
      <c r="U113" s="61">
        <f t="shared" si="32"/>
        <v>0</v>
      </c>
      <c r="V113" s="84"/>
      <c r="W113" s="84"/>
      <c r="X113" s="61">
        <f>Y113+Z113</f>
        <v>0</v>
      </c>
      <c r="Y113" s="84"/>
      <c r="Z113" s="84"/>
      <c r="AA113" s="84"/>
      <c r="AB113" s="69">
        <f t="shared" si="24"/>
        <v>0</v>
      </c>
      <c r="AC113" s="69"/>
      <c r="AD113" s="69"/>
      <c r="AE113" s="69"/>
      <c r="AI113" s="9"/>
      <c r="AJ113" s="9"/>
      <c r="AK113" s="9"/>
      <c r="AL113" s="9"/>
    </row>
    <row r="114" spans="1:38" s="36" customFormat="1" ht="31.5" x14ac:dyDescent="0.25">
      <c r="A114" s="85" t="s">
        <v>74</v>
      </c>
      <c r="B114" s="86" t="s">
        <v>543</v>
      </c>
      <c r="C114" s="61">
        <f>D114+J114+I114+E114+K114</f>
        <v>39000</v>
      </c>
      <c r="D114" s="84"/>
      <c r="F114" s="84"/>
      <c r="G114" s="84"/>
      <c r="H114" s="84"/>
      <c r="I114" s="84"/>
      <c r="J114" s="84">
        <v>39000</v>
      </c>
      <c r="K114" s="61"/>
      <c r="L114" s="84"/>
      <c r="M114" s="84"/>
      <c r="N114" s="61">
        <f t="shared" si="31"/>
        <v>0</v>
      </c>
      <c r="O114" s="84"/>
      <c r="P114" s="84"/>
      <c r="Q114" s="84"/>
      <c r="R114" s="84"/>
      <c r="S114" s="84"/>
      <c r="T114" s="84"/>
      <c r="U114" s="61"/>
      <c r="V114" s="84"/>
      <c r="W114" s="84"/>
      <c r="X114" s="61"/>
      <c r="Y114" s="84"/>
      <c r="Z114" s="84"/>
      <c r="AA114" s="84"/>
      <c r="AB114" s="69">
        <f t="shared" si="24"/>
        <v>0</v>
      </c>
      <c r="AC114" s="69"/>
      <c r="AD114" s="69"/>
      <c r="AE114" s="69"/>
      <c r="AI114" s="9"/>
      <c r="AJ114" s="9"/>
      <c r="AK114" s="9"/>
      <c r="AL114" s="9"/>
    </row>
    <row r="115" spans="1:38" s="36" customFormat="1" ht="31.5" x14ac:dyDescent="0.25">
      <c r="A115" s="85" t="s">
        <v>383</v>
      </c>
      <c r="B115" s="86" t="s">
        <v>544</v>
      </c>
      <c r="C115" s="61">
        <f t="shared" ref="C115:C118" si="33">D115+J115+I115+E115+K115</f>
        <v>0</v>
      </c>
      <c r="D115" s="84"/>
      <c r="F115" s="84"/>
      <c r="G115" s="84"/>
      <c r="H115" s="84"/>
      <c r="I115" s="84"/>
      <c r="J115" s="84"/>
      <c r="K115" s="61"/>
      <c r="L115" s="84"/>
      <c r="M115" s="84"/>
      <c r="N115" s="61">
        <f t="shared" si="31"/>
        <v>11900</v>
      </c>
      <c r="O115" s="84"/>
      <c r="P115" s="84"/>
      <c r="Q115" s="84"/>
      <c r="R115" s="84"/>
      <c r="S115" s="84"/>
      <c r="T115" s="84">
        <v>11900</v>
      </c>
      <c r="U115" s="61"/>
      <c r="V115" s="84"/>
      <c r="W115" s="84"/>
      <c r="X115" s="61"/>
      <c r="Y115" s="84"/>
      <c r="Z115" s="84"/>
      <c r="AA115" s="84"/>
      <c r="AB115" s="69"/>
      <c r="AC115" s="69"/>
      <c r="AD115" s="69"/>
      <c r="AE115" s="69"/>
      <c r="AI115" s="9"/>
      <c r="AJ115" s="9"/>
      <c r="AK115" s="9"/>
      <c r="AL115" s="9"/>
    </row>
    <row r="116" spans="1:38" s="36" customFormat="1" ht="31.5" x14ac:dyDescent="0.25">
      <c r="A116" s="85" t="s">
        <v>384</v>
      </c>
      <c r="B116" s="86" t="s">
        <v>382</v>
      </c>
      <c r="C116" s="61">
        <f t="shared" si="33"/>
        <v>359544</v>
      </c>
      <c r="D116" s="84"/>
      <c r="E116" s="84"/>
      <c r="F116" s="84"/>
      <c r="G116" s="84"/>
      <c r="H116" s="84"/>
      <c r="I116" s="84"/>
      <c r="J116" s="61">
        <v>359544</v>
      </c>
      <c r="K116" s="61">
        <f t="shared" si="15"/>
        <v>0</v>
      </c>
      <c r="L116" s="84"/>
      <c r="M116" s="84"/>
      <c r="N116" s="61">
        <f t="shared" si="31"/>
        <v>533490.10800000001</v>
      </c>
      <c r="O116" s="84"/>
      <c r="P116" s="84"/>
      <c r="Q116" s="84"/>
      <c r="R116" s="84"/>
      <c r="S116" s="84"/>
      <c r="T116" s="84">
        <v>533490.10800000001</v>
      </c>
      <c r="U116" s="61">
        <f t="shared" si="32"/>
        <v>0</v>
      </c>
      <c r="V116" s="84"/>
      <c r="W116" s="84"/>
      <c r="X116" s="61"/>
      <c r="Y116" s="84"/>
      <c r="Z116" s="84"/>
      <c r="AA116" s="84"/>
      <c r="AB116" s="69">
        <f t="shared" si="24"/>
        <v>148.37964421600694</v>
      </c>
      <c r="AC116" s="69"/>
      <c r="AD116" s="69"/>
      <c r="AE116" s="69"/>
      <c r="AI116" s="9"/>
      <c r="AJ116" s="9"/>
      <c r="AK116" s="9"/>
      <c r="AL116" s="9"/>
    </row>
    <row r="117" spans="1:38" s="36" customFormat="1" ht="31.5" x14ac:dyDescent="0.25">
      <c r="A117" s="87" t="s">
        <v>509</v>
      </c>
      <c r="B117" s="88" t="s">
        <v>102</v>
      </c>
      <c r="C117" s="61">
        <f t="shared" si="33"/>
        <v>0</v>
      </c>
      <c r="D117" s="90"/>
      <c r="E117" s="90"/>
      <c r="F117" s="90"/>
      <c r="G117" s="90"/>
      <c r="H117" s="90"/>
      <c r="I117" s="90"/>
      <c r="J117" s="90"/>
      <c r="K117" s="89">
        <f t="shared" si="15"/>
        <v>0</v>
      </c>
      <c r="L117" s="90"/>
      <c r="M117" s="90"/>
      <c r="N117" s="61">
        <f t="shared" si="31"/>
        <v>1326874.6171550001</v>
      </c>
      <c r="O117" s="90"/>
      <c r="P117" s="90"/>
      <c r="Q117" s="90"/>
      <c r="R117" s="90"/>
      <c r="S117" s="90"/>
      <c r="T117" s="90"/>
      <c r="U117" s="89">
        <f t="shared" si="32"/>
        <v>0</v>
      </c>
      <c r="V117" s="90"/>
      <c r="W117" s="90"/>
      <c r="X117" s="90">
        <f>'[2]bieu 53_'!G106</f>
        <v>1326874.6171550001</v>
      </c>
      <c r="Y117" s="90"/>
      <c r="Z117" s="90"/>
      <c r="AA117" s="90"/>
      <c r="AB117" s="69"/>
      <c r="AC117" s="69"/>
      <c r="AD117" s="69"/>
      <c r="AE117" s="69"/>
      <c r="AI117" s="9"/>
      <c r="AJ117" s="9"/>
      <c r="AK117" s="9"/>
      <c r="AL117" s="9"/>
    </row>
    <row r="118" spans="1:38" x14ac:dyDescent="0.25">
      <c r="A118" s="91" t="s">
        <v>545</v>
      </c>
      <c r="B118" s="92" t="s">
        <v>226</v>
      </c>
      <c r="C118" s="93">
        <f t="shared" si="33"/>
        <v>0</v>
      </c>
      <c r="D118" s="94"/>
      <c r="E118" s="94"/>
      <c r="F118" s="94"/>
      <c r="G118" s="94"/>
      <c r="H118" s="94"/>
      <c r="I118" s="94"/>
      <c r="J118" s="94"/>
      <c r="K118" s="93">
        <f t="shared" si="15"/>
        <v>0</v>
      </c>
      <c r="L118" s="94"/>
      <c r="M118" s="94"/>
      <c r="N118" s="93">
        <f>O118+P118+S118+T118+U118+X118+AA118</f>
        <v>331567.81606899999</v>
      </c>
      <c r="O118" s="94"/>
      <c r="P118" s="94"/>
      <c r="Q118" s="94"/>
      <c r="R118" s="94"/>
      <c r="S118" s="94"/>
      <c r="T118" s="94"/>
      <c r="U118" s="93">
        <f t="shared" si="32"/>
        <v>0</v>
      </c>
      <c r="V118" s="94"/>
      <c r="W118" s="94"/>
      <c r="X118" s="94"/>
      <c r="Y118" s="94"/>
      <c r="Z118" s="94"/>
      <c r="AA118" s="94">
        <f>'[2]bieu 53_'!G107</f>
        <v>331567.81606899999</v>
      </c>
      <c r="AB118" s="95"/>
      <c r="AC118" s="95"/>
      <c r="AD118" s="95"/>
      <c r="AE118" s="95"/>
    </row>
    <row r="119" spans="1:38" ht="51" customHeight="1" x14ac:dyDescent="0.25"/>
    <row r="120" spans="1:38" x14ac:dyDescent="0.25">
      <c r="B120" s="350"/>
      <c r="C120" s="350"/>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row>
    <row r="123" spans="1:38" x14ac:dyDescent="0.25">
      <c r="N123" s="6"/>
    </row>
  </sheetData>
  <mergeCells count="33">
    <mergeCell ref="A7:A9"/>
    <mergeCell ref="B7:B9"/>
    <mergeCell ref="C7:M7"/>
    <mergeCell ref="N7:X7"/>
    <mergeCell ref="AB7:AE7"/>
    <mergeCell ref="Q8:R8"/>
    <mergeCell ref="C8:C9"/>
    <mergeCell ref="D8:D9"/>
    <mergeCell ref="E8:E9"/>
    <mergeCell ref="F8:F9"/>
    <mergeCell ref="G8:H8"/>
    <mergeCell ref="I8:I9"/>
    <mergeCell ref="AB8:AB9"/>
    <mergeCell ref="AC8:AC9"/>
    <mergeCell ref="AD8:AD9"/>
    <mergeCell ref="AE8:AE9"/>
    <mergeCell ref="B1:C1"/>
    <mergeCell ref="A3:AE3"/>
    <mergeCell ref="A4:AE4"/>
    <mergeCell ref="AB6:AC6"/>
    <mergeCell ref="AD6:AE6"/>
    <mergeCell ref="B120:AE120"/>
    <mergeCell ref="S8:S9"/>
    <mergeCell ref="T8:T9"/>
    <mergeCell ref="U8:W8"/>
    <mergeCell ref="X8:X9"/>
    <mergeCell ref="Y8:Z8"/>
    <mergeCell ref="AA8:AA9"/>
    <mergeCell ref="J8:J9"/>
    <mergeCell ref="K8:M8"/>
    <mergeCell ref="N8:N9"/>
    <mergeCell ref="O8:O9"/>
    <mergeCell ref="P8:P9"/>
  </mergeCells>
  <dataValidations count="6">
    <dataValidation allowBlank="1" showInputMessage="1" showErrorMessage="1" prompt="Bao gồm cả BS cân đối để khớp với tổng chi NS tỉnh" sqref="T116" xr:uid="{00000000-0002-0000-0900-000000000000}"/>
    <dataValidation allowBlank="1" showInputMessage="1" showErrorMessage="1" prompt="Bộ Quốc phòng_x000a_" sqref="Q43" xr:uid="{00000000-0002-0000-0900-000001000000}"/>
    <dataValidation allowBlank="1" showInputMessage="1" showErrorMessage="1" prompt="Bao gồm Văn phòng điều phối CT MTQG NTM" sqref="M14" xr:uid="{00000000-0002-0000-0900-000002000000}"/>
    <dataValidation allowBlank="1" showInputMessage="1" showErrorMessage="1" prompt="Bao gồm: tăng 300tr. đồng Ghi thu ghi chi quyền sử dụng đất khai thác quỹ đất khu phía Nam cầu Đăk bla (Thường xuyên)" sqref="R71" xr:uid="{00000000-0002-0000-0900-000003000000}"/>
    <dataValidation allowBlank="1" showInputMessage="1" showErrorMessage="1" prompt="Theo TT 343 BTC các lĩnh vực  Công an tỉnh, Bộ chỉ huy quân sự tỉnh; Bộ chỉ huy biên phòng tỉnh, Ban Chỉ đạo phân giới, cắm mổc tỉnh (Việt nam - Lào), Ban chỉ đạo phân giới, cắm mổc tỉnh (Viêt nam - Cam Pu Chia) không công khai QT" sqref="WVQ982896 C65392 JE65392 TA65392 ACW65392 AMS65392 AWO65392 BGK65392 BQG65392 CAC65392 CJY65392 CTU65392 DDQ65392 DNM65392 DXI65392 EHE65392 ERA65392 FAW65392 FKS65392 FUO65392 GEK65392 GOG65392 GYC65392 HHY65392 HRU65392 IBQ65392 ILM65392 IVI65392 JFE65392 JPA65392 JYW65392 KIS65392 KSO65392 LCK65392 LMG65392 LWC65392 MFY65392 MPU65392 MZQ65392 NJM65392 NTI65392 ODE65392 ONA65392 OWW65392 PGS65392 PQO65392 QAK65392 QKG65392 QUC65392 RDY65392 RNU65392 RXQ65392 SHM65392 SRI65392 TBE65392 TLA65392 TUW65392 UES65392 UOO65392 UYK65392 VIG65392 VSC65392 WBY65392 WLU65392 WVQ65392 C130928 JE130928 TA130928 ACW130928 AMS130928 AWO130928 BGK130928 BQG130928 CAC130928 CJY130928 CTU130928 DDQ130928 DNM130928 DXI130928 EHE130928 ERA130928 FAW130928 FKS130928 FUO130928 GEK130928 GOG130928 GYC130928 HHY130928 HRU130928 IBQ130928 ILM130928 IVI130928 JFE130928 JPA130928 JYW130928 KIS130928 KSO130928 LCK130928 LMG130928 LWC130928 MFY130928 MPU130928 MZQ130928 NJM130928 NTI130928 ODE130928 ONA130928 OWW130928 PGS130928 PQO130928 QAK130928 QKG130928 QUC130928 RDY130928 RNU130928 RXQ130928 SHM130928 SRI130928 TBE130928 TLA130928 TUW130928 UES130928 UOO130928 UYK130928 VIG130928 VSC130928 WBY130928 WLU130928 WVQ130928 C196464 JE196464 TA196464 ACW196464 AMS196464 AWO196464 BGK196464 BQG196464 CAC196464 CJY196464 CTU196464 DDQ196464 DNM196464 DXI196464 EHE196464 ERA196464 FAW196464 FKS196464 FUO196464 GEK196464 GOG196464 GYC196464 HHY196464 HRU196464 IBQ196464 ILM196464 IVI196464 JFE196464 JPA196464 JYW196464 KIS196464 KSO196464 LCK196464 LMG196464 LWC196464 MFY196464 MPU196464 MZQ196464 NJM196464 NTI196464 ODE196464 ONA196464 OWW196464 PGS196464 PQO196464 QAK196464 QKG196464 QUC196464 RDY196464 RNU196464 RXQ196464 SHM196464 SRI196464 TBE196464 TLA196464 TUW196464 UES196464 UOO196464 UYK196464 VIG196464 VSC196464 WBY196464 WLU196464 WVQ196464 C262000 JE262000 TA262000 ACW262000 AMS262000 AWO262000 BGK262000 BQG262000 CAC262000 CJY262000 CTU262000 DDQ262000 DNM262000 DXI262000 EHE262000 ERA262000 FAW262000 FKS262000 FUO262000 GEK262000 GOG262000 GYC262000 HHY262000 HRU262000 IBQ262000 ILM262000 IVI262000 JFE262000 JPA262000 JYW262000 KIS262000 KSO262000 LCK262000 LMG262000 LWC262000 MFY262000 MPU262000 MZQ262000 NJM262000 NTI262000 ODE262000 ONA262000 OWW262000 PGS262000 PQO262000 QAK262000 QKG262000 QUC262000 RDY262000 RNU262000 RXQ262000 SHM262000 SRI262000 TBE262000 TLA262000 TUW262000 UES262000 UOO262000 UYK262000 VIG262000 VSC262000 WBY262000 WLU262000 WVQ262000 C327536 JE327536 TA327536 ACW327536 AMS327536 AWO327536 BGK327536 BQG327536 CAC327536 CJY327536 CTU327536 DDQ327536 DNM327536 DXI327536 EHE327536 ERA327536 FAW327536 FKS327536 FUO327536 GEK327536 GOG327536 GYC327536 HHY327536 HRU327536 IBQ327536 ILM327536 IVI327536 JFE327536 JPA327536 JYW327536 KIS327536 KSO327536 LCK327536 LMG327536 LWC327536 MFY327536 MPU327536 MZQ327536 NJM327536 NTI327536 ODE327536 ONA327536 OWW327536 PGS327536 PQO327536 QAK327536 QKG327536 QUC327536 RDY327536 RNU327536 RXQ327536 SHM327536 SRI327536 TBE327536 TLA327536 TUW327536 UES327536 UOO327536 UYK327536 VIG327536 VSC327536 WBY327536 WLU327536 WVQ327536 C393072 JE393072 TA393072 ACW393072 AMS393072 AWO393072 BGK393072 BQG393072 CAC393072 CJY393072 CTU393072 DDQ393072 DNM393072 DXI393072 EHE393072 ERA393072 FAW393072 FKS393072 FUO393072 GEK393072 GOG393072 GYC393072 HHY393072 HRU393072 IBQ393072 ILM393072 IVI393072 JFE393072 JPA393072 JYW393072 KIS393072 KSO393072 LCK393072 LMG393072 LWC393072 MFY393072 MPU393072 MZQ393072 NJM393072 NTI393072 ODE393072 ONA393072 OWW393072 PGS393072 PQO393072 QAK393072 QKG393072 QUC393072 RDY393072 RNU393072 RXQ393072 SHM393072 SRI393072 TBE393072 TLA393072 TUW393072 UES393072 UOO393072 UYK393072 VIG393072 VSC393072 WBY393072 WLU393072 WVQ393072 C458608 JE458608 TA458608 ACW458608 AMS458608 AWO458608 BGK458608 BQG458608 CAC458608 CJY458608 CTU458608 DDQ458608 DNM458608 DXI458608 EHE458608 ERA458608 FAW458608 FKS458608 FUO458608 GEK458608 GOG458608 GYC458608 HHY458608 HRU458608 IBQ458608 ILM458608 IVI458608 JFE458608 JPA458608 JYW458608 KIS458608 KSO458608 LCK458608 LMG458608 LWC458608 MFY458608 MPU458608 MZQ458608 NJM458608 NTI458608 ODE458608 ONA458608 OWW458608 PGS458608 PQO458608 QAK458608 QKG458608 QUC458608 RDY458608 RNU458608 RXQ458608 SHM458608 SRI458608 TBE458608 TLA458608 TUW458608 UES458608 UOO458608 UYK458608 VIG458608 VSC458608 WBY458608 WLU458608 WVQ458608 C524144 JE524144 TA524144 ACW524144 AMS524144 AWO524144 BGK524144 BQG524144 CAC524144 CJY524144 CTU524144 DDQ524144 DNM524144 DXI524144 EHE524144 ERA524144 FAW524144 FKS524144 FUO524144 GEK524144 GOG524144 GYC524144 HHY524144 HRU524144 IBQ524144 ILM524144 IVI524144 JFE524144 JPA524144 JYW524144 KIS524144 KSO524144 LCK524144 LMG524144 LWC524144 MFY524144 MPU524144 MZQ524144 NJM524144 NTI524144 ODE524144 ONA524144 OWW524144 PGS524144 PQO524144 QAK524144 QKG524144 QUC524144 RDY524144 RNU524144 RXQ524144 SHM524144 SRI524144 TBE524144 TLA524144 TUW524144 UES524144 UOO524144 UYK524144 VIG524144 VSC524144 WBY524144 WLU524144 WVQ524144 C589680 JE589680 TA589680 ACW589680 AMS589680 AWO589680 BGK589680 BQG589680 CAC589680 CJY589680 CTU589680 DDQ589680 DNM589680 DXI589680 EHE589680 ERA589680 FAW589680 FKS589680 FUO589680 GEK589680 GOG589680 GYC589680 HHY589680 HRU589680 IBQ589680 ILM589680 IVI589680 JFE589680 JPA589680 JYW589680 KIS589680 KSO589680 LCK589680 LMG589680 LWC589680 MFY589680 MPU589680 MZQ589680 NJM589680 NTI589680 ODE589680 ONA589680 OWW589680 PGS589680 PQO589680 QAK589680 QKG589680 QUC589680 RDY589680 RNU589680 RXQ589680 SHM589680 SRI589680 TBE589680 TLA589680 TUW589680 UES589680 UOO589680 UYK589680 VIG589680 VSC589680 WBY589680 WLU589680 WVQ589680 C655216 JE655216 TA655216 ACW655216 AMS655216 AWO655216 BGK655216 BQG655216 CAC655216 CJY655216 CTU655216 DDQ655216 DNM655216 DXI655216 EHE655216 ERA655216 FAW655216 FKS655216 FUO655216 GEK655216 GOG655216 GYC655216 HHY655216 HRU655216 IBQ655216 ILM655216 IVI655216 JFE655216 JPA655216 JYW655216 KIS655216 KSO655216 LCK655216 LMG655216 LWC655216 MFY655216 MPU655216 MZQ655216 NJM655216 NTI655216 ODE655216 ONA655216 OWW655216 PGS655216 PQO655216 QAK655216 QKG655216 QUC655216 RDY655216 RNU655216 RXQ655216 SHM655216 SRI655216 TBE655216 TLA655216 TUW655216 UES655216 UOO655216 UYK655216 VIG655216 VSC655216 WBY655216 WLU655216 WVQ655216 C720752 JE720752 TA720752 ACW720752 AMS720752 AWO720752 BGK720752 BQG720752 CAC720752 CJY720752 CTU720752 DDQ720752 DNM720752 DXI720752 EHE720752 ERA720752 FAW720752 FKS720752 FUO720752 GEK720752 GOG720752 GYC720752 HHY720752 HRU720752 IBQ720752 ILM720752 IVI720752 JFE720752 JPA720752 JYW720752 KIS720752 KSO720752 LCK720752 LMG720752 LWC720752 MFY720752 MPU720752 MZQ720752 NJM720752 NTI720752 ODE720752 ONA720752 OWW720752 PGS720752 PQO720752 QAK720752 QKG720752 QUC720752 RDY720752 RNU720752 RXQ720752 SHM720752 SRI720752 TBE720752 TLA720752 TUW720752 UES720752 UOO720752 UYK720752 VIG720752 VSC720752 WBY720752 WLU720752 WVQ720752 C786288 JE786288 TA786288 ACW786288 AMS786288 AWO786288 BGK786288 BQG786288 CAC786288 CJY786288 CTU786288 DDQ786288 DNM786288 DXI786288 EHE786288 ERA786288 FAW786288 FKS786288 FUO786288 GEK786288 GOG786288 GYC786288 HHY786288 HRU786288 IBQ786288 ILM786288 IVI786288 JFE786288 JPA786288 JYW786288 KIS786288 KSO786288 LCK786288 LMG786288 LWC786288 MFY786288 MPU786288 MZQ786288 NJM786288 NTI786288 ODE786288 ONA786288 OWW786288 PGS786288 PQO786288 QAK786288 QKG786288 QUC786288 RDY786288 RNU786288 RXQ786288 SHM786288 SRI786288 TBE786288 TLA786288 TUW786288 UES786288 UOO786288 UYK786288 VIG786288 VSC786288 WBY786288 WLU786288 WVQ786288 C851824 JE851824 TA851824 ACW851824 AMS851824 AWO851824 BGK851824 BQG851824 CAC851824 CJY851824 CTU851824 DDQ851824 DNM851824 DXI851824 EHE851824 ERA851824 FAW851824 FKS851824 FUO851824 GEK851824 GOG851824 GYC851824 HHY851824 HRU851824 IBQ851824 ILM851824 IVI851824 JFE851824 JPA851824 JYW851824 KIS851824 KSO851824 LCK851824 LMG851824 LWC851824 MFY851824 MPU851824 MZQ851824 NJM851824 NTI851824 ODE851824 ONA851824 OWW851824 PGS851824 PQO851824 QAK851824 QKG851824 QUC851824 RDY851824 RNU851824 RXQ851824 SHM851824 SRI851824 TBE851824 TLA851824 TUW851824 UES851824 UOO851824 UYK851824 VIG851824 VSC851824 WBY851824 WLU851824 WVQ851824 C917360 JE917360 TA917360 ACW917360 AMS917360 AWO917360 BGK917360 BQG917360 CAC917360 CJY917360 CTU917360 DDQ917360 DNM917360 DXI917360 EHE917360 ERA917360 FAW917360 FKS917360 FUO917360 GEK917360 GOG917360 GYC917360 HHY917360 HRU917360 IBQ917360 ILM917360 IVI917360 JFE917360 JPA917360 JYW917360 KIS917360 KSO917360 LCK917360 LMG917360 LWC917360 MFY917360 MPU917360 MZQ917360 NJM917360 NTI917360 ODE917360 ONA917360 OWW917360 PGS917360 PQO917360 QAK917360 QKG917360 QUC917360 RDY917360 RNU917360 RXQ917360 SHM917360 SRI917360 TBE917360 TLA917360 TUW917360 UES917360 UOO917360 UYK917360 VIG917360 VSC917360 WBY917360 WLU917360 WVQ917360 C982896 JE982896 TA982896 ACW982896 AMS982896 AWO982896 BGK982896 BQG982896 CAC982896 CJY982896 CTU982896 DDQ982896 DNM982896 DXI982896 EHE982896 ERA982896 FAW982896 FKS982896 FUO982896 GEK982896 GOG982896 GYC982896 HHY982896 HRU982896 IBQ982896 ILM982896 IVI982896 JFE982896 JPA982896 JYW982896 KIS982896 KSO982896 LCK982896 LMG982896 LWC982896 MFY982896 MPU982896 MZQ982896 NJM982896 NTI982896 ODE982896 ONA982896 OWW982896 PGS982896 PQO982896 QAK982896 QKG982896 QUC982896 RDY982896 RNU982896 RXQ982896 SHM982896 SRI982896 TBE982896 TLA982896 TUW982896 UES982896 UOO982896 UYK982896 VIG982896 VSC982896 WBY982896 WLU982896 WBY13:WBY90 VSC13:VSC90 VIG13:VIG90 UYK13:UYK90 UOO13:UOO90 UES13:UES90 TUW13:TUW90 TLA13:TLA90 TBE13:TBE90 SRI13:SRI90 SHM13:SHM90 RXQ13:RXQ90 RNU13:RNU90 RDY13:RDY90 QUC13:QUC90 QKG13:QKG90 QAK13:QAK90 PQO13:PQO90 PGS13:PGS90 OWW13:OWW90 ONA13:ONA90 ODE13:ODE90 NTI13:NTI90 NJM13:NJM90 MZQ13:MZQ90 MPU13:MPU90 MFY13:MFY90 LWC13:LWC90 LMG13:LMG90 LCK13:LCK90 KSO13:KSO90 KIS13:KIS90 JYW13:JYW90 JPA13:JPA90 JFE13:JFE90 IVI13:IVI90 ILM13:ILM90 IBQ13:IBQ90 HRU13:HRU90 HHY13:HHY90 GYC13:GYC90 GOG13:GOG90 GEK13:GEK90 FUO13:FUO90 FKS13:FKS90 FAW13:FAW90 ERA13:ERA90 EHE13:EHE90 DXI13:DXI90 DNM13:DNM90 DDQ13:DDQ90 CTU13:CTU90 CJY13:CJY90 CAC13:CAC90 BQG13:BQG90 BGK13:BGK90 AWO13:AWO90 AMS13:AMS90 ACW13:ACW90 TA13:TA90 JE13:JE90 WVQ13:WVQ90 WLU13:WLU90" xr:uid="{00000000-0002-0000-0900-000004000000}"/>
    <dataValidation allowBlank="1" showInputMessage="1" showErrorMessage="1" prompt="_x000a_" sqref="O36" xr:uid="{00000000-0002-0000-0900-000005000000}"/>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62_QT</vt:lpstr>
      <vt:lpstr>63_QT</vt:lpstr>
      <vt:lpstr>64_QT </vt:lpstr>
      <vt:lpstr>65_QT</vt:lpstr>
      <vt:lpstr>66_QT </vt:lpstr>
      <vt:lpstr>67_QT</vt:lpstr>
      <vt:lpstr>68_QT</vt:lpstr>
      <vt:lpstr>Bieu53_NQ83 HDND</vt:lpstr>
      <vt:lpstr>Bieu 52_NQ83 HDND</vt:lpstr>
      <vt:lpstr>Bieu 54_NQ83 HDND</vt:lpstr>
      <vt:lpstr>'65_QT'!Print_Area</vt:lpstr>
      <vt:lpstr>'68_QT'!Print_Area</vt:lpstr>
      <vt:lpstr>'63_QT'!Print_Titles</vt:lpstr>
      <vt:lpstr>'64_QT '!Print_Titles</vt:lpstr>
      <vt:lpstr>'65_QT'!Print_Titles</vt:lpstr>
      <vt:lpstr>'66_QT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2024-12-16T01:40:44Z</dcterms:modified>
</cp:coreProperties>
</file>