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filterPrivacy="1" defaultThemeVersion="124226"/>
  <xr:revisionPtr revIDLastSave="0" documentId="13_ncr:1_{C610F36B-ABE0-4978-8E01-B8ADA97DF1FF}" xr6:coauthVersionLast="47" xr6:coauthVersionMax="47" xr10:uidLastSave="{00000000-0000-0000-0000-000000000000}"/>
  <bookViews>
    <workbookView xWindow="-120" yWindow="-120" windowWidth="20730" windowHeight="11040" tabRatio="705" activeTab="2" xr2:uid="{00000000-000D-0000-FFFF-FFFF00000000}"/>
  </bookViews>
  <sheets>
    <sheet name="62_QT" sheetId="1" r:id="rId1"/>
    <sheet name="63_QT" sheetId="2" r:id="rId2"/>
    <sheet name="64_QT " sheetId="3" r:id="rId3"/>
    <sheet name="65_QT" sheetId="4" r:id="rId4"/>
    <sheet name="66_QT " sheetId="16" r:id="rId5"/>
    <sheet name="67_QT" sheetId="6" r:id="rId6"/>
    <sheet name="68_QT" sheetId="22" r:id="rId7"/>
    <sheet name="Bieu53_NQ83 HDND" sheetId="17" state="hidden" r:id="rId8"/>
    <sheet name="Bieu 52_NQ83 HDND" sheetId="18" state="hidden" r:id="rId9"/>
    <sheet name="Bieu 54_NQ83 HDND" sheetId="19" state="hidden" r:id="rId10"/>
  </sheets>
  <externalReferences>
    <externalReference r:id="rId11"/>
    <externalReference r:id="rId12"/>
  </externalReferences>
  <definedNames>
    <definedName name="_________a1" localSheetId="6" hidden="1">{"'Sheet1'!$L$16"}</definedName>
    <definedName name="_________a1" hidden="1">{"'Sheet1'!$L$16"}</definedName>
    <definedName name="_________PA3" localSheetId="6" hidden="1">{"'Sheet1'!$L$16"}</definedName>
    <definedName name="_________PA3" hidden="1">{"'Sheet1'!$L$16"}</definedName>
    <definedName name="_______a1" localSheetId="6" hidden="1">{"'Sheet1'!$L$16"}</definedName>
    <definedName name="_______a1" hidden="1">{"'Sheet1'!$L$16"}</definedName>
    <definedName name="_______PA3" localSheetId="6" hidden="1">{"'Sheet1'!$L$16"}</definedName>
    <definedName name="_______PA3" hidden="1">{"'Sheet1'!$L$16"}</definedName>
    <definedName name="______a1" localSheetId="6" hidden="1">{"'Sheet1'!$L$16"}</definedName>
    <definedName name="______a1" hidden="1">{"'Sheet1'!$L$16"}</definedName>
    <definedName name="______h1" localSheetId="6" hidden="1">{"'Sheet1'!$L$16"}</definedName>
    <definedName name="______h1" hidden="1">{"'Sheet1'!$L$16"}</definedName>
    <definedName name="______h10" localSheetId="6" hidden="1">{#N/A,#N/A,FALSE,"Chi tiÆt"}</definedName>
    <definedName name="______h10" hidden="1">{#N/A,#N/A,FALSE,"Chi tiÆt"}</definedName>
    <definedName name="______h2" localSheetId="6" hidden="1">{"'Sheet1'!$L$16"}</definedName>
    <definedName name="______h2" hidden="1">{"'Sheet1'!$L$16"}</definedName>
    <definedName name="______h3" localSheetId="6" hidden="1">{"'Sheet1'!$L$16"}</definedName>
    <definedName name="______h3" hidden="1">{"'Sheet1'!$L$16"}</definedName>
    <definedName name="______h5" localSheetId="6" hidden="1">{"'Sheet1'!$L$16"}</definedName>
    <definedName name="______h5" hidden="1">{"'Sheet1'!$L$16"}</definedName>
    <definedName name="______h6" localSheetId="6" hidden="1">{"'Sheet1'!$L$16"}</definedName>
    <definedName name="______h6" hidden="1">{"'Sheet1'!$L$16"}</definedName>
    <definedName name="______h7" localSheetId="6" hidden="1">{"'Sheet1'!$L$16"}</definedName>
    <definedName name="______h7" hidden="1">{"'Sheet1'!$L$16"}</definedName>
    <definedName name="______h8" localSheetId="6" hidden="1">{"'Sheet1'!$L$16"}</definedName>
    <definedName name="______h8" hidden="1">{"'Sheet1'!$L$16"}</definedName>
    <definedName name="______h9" localSheetId="6" hidden="1">{"'Sheet1'!$L$16"}</definedName>
    <definedName name="______h9" hidden="1">{"'Sheet1'!$L$16"}</definedName>
    <definedName name="______NSO2" localSheetId="6" hidden="1">{"'Sheet1'!$L$16"}</definedName>
    <definedName name="______NSO2" hidden="1">{"'Sheet1'!$L$16"}</definedName>
    <definedName name="______PA3" localSheetId="6" hidden="1">{"'Sheet1'!$L$16"}</definedName>
    <definedName name="______PA3" hidden="1">{"'Sheet1'!$L$16"}</definedName>
    <definedName name="______vl2" localSheetId="6" hidden="1">{"'Sheet1'!$L$16"}</definedName>
    <definedName name="______vl2" hidden="1">{"'Sheet1'!$L$16"}</definedName>
    <definedName name="_____a1" localSheetId="6" hidden="1">{"'Sheet1'!$L$16"}</definedName>
    <definedName name="_____a1" hidden="1">{"'Sheet1'!$L$16"}</definedName>
    <definedName name="_____h1" localSheetId="6" hidden="1">{"'Sheet1'!$L$16"}</definedName>
    <definedName name="_____h1" hidden="1">{"'Sheet1'!$L$16"}</definedName>
    <definedName name="_____h10" localSheetId="6" hidden="1">{#N/A,#N/A,FALSE,"Chi tiÆt"}</definedName>
    <definedName name="_____h10" hidden="1">{#N/A,#N/A,FALSE,"Chi tiÆt"}</definedName>
    <definedName name="_____h2" localSheetId="6" hidden="1">{"'Sheet1'!$L$16"}</definedName>
    <definedName name="_____h2" hidden="1">{"'Sheet1'!$L$16"}</definedName>
    <definedName name="_____h3" localSheetId="6" hidden="1">{"'Sheet1'!$L$16"}</definedName>
    <definedName name="_____h3" hidden="1">{"'Sheet1'!$L$16"}</definedName>
    <definedName name="_____h5" localSheetId="6" hidden="1">{"'Sheet1'!$L$16"}</definedName>
    <definedName name="_____h5" hidden="1">{"'Sheet1'!$L$16"}</definedName>
    <definedName name="_____h6" localSheetId="6" hidden="1">{"'Sheet1'!$L$16"}</definedName>
    <definedName name="_____h6" hidden="1">{"'Sheet1'!$L$16"}</definedName>
    <definedName name="_____h7" localSheetId="6" hidden="1">{"'Sheet1'!$L$16"}</definedName>
    <definedName name="_____h7" hidden="1">{"'Sheet1'!$L$16"}</definedName>
    <definedName name="_____h8" localSheetId="6" hidden="1">{"'Sheet1'!$L$16"}</definedName>
    <definedName name="_____h8" hidden="1">{"'Sheet1'!$L$16"}</definedName>
    <definedName name="_____h9" localSheetId="6" hidden="1">{"'Sheet1'!$L$16"}</definedName>
    <definedName name="_____h9" hidden="1">{"'Sheet1'!$L$16"}</definedName>
    <definedName name="_____NSO2" localSheetId="6" hidden="1">{"'Sheet1'!$L$16"}</definedName>
    <definedName name="_____NSO2" hidden="1">{"'Sheet1'!$L$16"}</definedName>
    <definedName name="_____PA3" localSheetId="6" hidden="1">{"'Sheet1'!$L$16"}</definedName>
    <definedName name="_____PA3" hidden="1">{"'Sheet1'!$L$16"}</definedName>
    <definedName name="_____vl2" localSheetId="6" hidden="1">{"'Sheet1'!$L$16"}</definedName>
    <definedName name="_____vl2" hidden="1">{"'Sheet1'!$L$16"}</definedName>
    <definedName name="____ban2" localSheetId="6" hidden="1">{"'Sheet1'!$L$16"}</definedName>
    <definedName name="____ban2" hidden="1">{"'Sheet1'!$L$16"}</definedName>
    <definedName name="____cep1" localSheetId="6" hidden="1">{"'Sheet1'!$L$16"}</definedName>
    <definedName name="____cep1" hidden="1">{"'Sheet1'!$L$16"}</definedName>
    <definedName name="____Coc39" localSheetId="6" hidden="1">{"'Sheet1'!$L$16"}</definedName>
    <definedName name="____Coc39" hidden="1">{"'Sheet1'!$L$16"}</definedName>
    <definedName name="____Goi8" localSheetId="6" hidden="1">{"'Sheet1'!$L$16"}</definedName>
    <definedName name="____Goi8" hidden="1">{"'Sheet1'!$L$16"}</definedName>
    <definedName name="____h1" localSheetId="6" hidden="1">{"'Sheet1'!$L$16"}</definedName>
    <definedName name="____h1" hidden="1">{"'Sheet1'!$L$16"}</definedName>
    <definedName name="____h10" localSheetId="6" hidden="1">{#N/A,#N/A,FALSE,"Chi tiÆt"}</definedName>
    <definedName name="____h10" hidden="1">{#N/A,#N/A,FALSE,"Chi tiÆt"}</definedName>
    <definedName name="____h2" localSheetId="6" hidden="1">{"'Sheet1'!$L$16"}</definedName>
    <definedName name="____h2" hidden="1">{"'Sheet1'!$L$16"}</definedName>
    <definedName name="____h3" localSheetId="6" hidden="1">{"'Sheet1'!$L$16"}</definedName>
    <definedName name="____h3" hidden="1">{"'Sheet1'!$L$16"}</definedName>
    <definedName name="____h5" localSheetId="6" hidden="1">{"'Sheet1'!$L$16"}</definedName>
    <definedName name="____h5" hidden="1">{"'Sheet1'!$L$16"}</definedName>
    <definedName name="____h6" localSheetId="6" hidden="1">{"'Sheet1'!$L$16"}</definedName>
    <definedName name="____h6" hidden="1">{"'Sheet1'!$L$16"}</definedName>
    <definedName name="____h7" localSheetId="6" hidden="1">{"'Sheet1'!$L$16"}</definedName>
    <definedName name="____h7" hidden="1">{"'Sheet1'!$L$16"}</definedName>
    <definedName name="____h8" localSheetId="6" hidden="1">{"'Sheet1'!$L$16"}</definedName>
    <definedName name="____h8" hidden="1">{"'Sheet1'!$L$16"}</definedName>
    <definedName name="____h9" localSheetId="6" hidden="1">{"'Sheet1'!$L$16"}</definedName>
    <definedName name="____h9" hidden="1">{"'Sheet1'!$L$16"}</definedName>
    <definedName name="____HUY1" localSheetId="6" hidden="1">{"'Sheet1'!$L$16"}</definedName>
    <definedName name="____HUY1" hidden="1">{"'Sheet1'!$L$16"}</definedName>
    <definedName name="____HUY2" localSheetId="6" hidden="1">{"'Sheet1'!$L$16"}</definedName>
    <definedName name="____HUY2" hidden="1">{"'Sheet1'!$L$16"}</definedName>
    <definedName name="____Lan1" localSheetId="6" hidden="1">{"'Sheet1'!$L$16"}</definedName>
    <definedName name="____Lan1" hidden="1">{"'Sheet1'!$L$16"}</definedName>
    <definedName name="____LAN3" localSheetId="6" hidden="1">{"'Sheet1'!$L$16"}</definedName>
    <definedName name="____LAN3" hidden="1">{"'Sheet1'!$L$16"}</definedName>
    <definedName name="____lk2" localSheetId="6" hidden="1">{"'Sheet1'!$L$16"}</definedName>
    <definedName name="____lk2" hidden="1">{"'Sheet1'!$L$16"}</definedName>
    <definedName name="____NSO2" localSheetId="6" hidden="1">{"'Sheet1'!$L$16"}</definedName>
    <definedName name="____NSO2" hidden="1">{"'Sheet1'!$L$16"}</definedName>
    <definedName name="____PA3" localSheetId="6" hidden="1">{"'Sheet1'!$L$16"}</definedName>
    <definedName name="____PA3" hidden="1">{"'Sheet1'!$L$16"}</definedName>
    <definedName name="____Pl2" localSheetId="6" hidden="1">{"'Sheet1'!$L$16"}</definedName>
    <definedName name="____Pl2" hidden="1">{"'Sheet1'!$L$16"}</definedName>
    <definedName name="____Tru21" localSheetId="6" hidden="1">{"'Sheet1'!$L$16"}</definedName>
    <definedName name="____Tru21" hidden="1">{"'Sheet1'!$L$16"}</definedName>
    <definedName name="____tt3" localSheetId="6" hidden="1">{"'Sheet1'!$L$16"}</definedName>
    <definedName name="____tt3" hidden="1">{"'Sheet1'!$L$16"}</definedName>
    <definedName name="____TT31" localSheetId="6" hidden="1">{"'Sheet1'!$L$16"}</definedName>
    <definedName name="____TT31" hidden="1">{"'Sheet1'!$L$16"}</definedName>
    <definedName name="____vl2" localSheetId="6" hidden="1">{"'Sheet1'!$L$16"}</definedName>
    <definedName name="____vl2" hidden="1">{"'Sheet1'!$L$16"}</definedName>
    <definedName name="____VM2" localSheetId="6" hidden="1">{"'Sheet1'!$L$16"}</definedName>
    <definedName name="____VM2" hidden="1">{"'Sheet1'!$L$16"}</definedName>
    <definedName name="___a1" localSheetId="6" hidden="1">{"'Sheet1'!$L$16"}</definedName>
    <definedName name="___a1" hidden="1">{"'Sheet1'!$L$16"}</definedName>
    <definedName name="___ban2" localSheetId="6" hidden="1">{"'Sheet1'!$L$16"}</definedName>
    <definedName name="___ban2" hidden="1">{"'Sheet1'!$L$16"}</definedName>
    <definedName name="___cep1" localSheetId="6" hidden="1">{"'Sheet1'!$L$16"}</definedName>
    <definedName name="___cep1" hidden="1">{"'Sheet1'!$L$16"}</definedName>
    <definedName name="___Coc39" localSheetId="6" hidden="1">{"'Sheet1'!$L$16"}</definedName>
    <definedName name="___Coc39" hidden="1">{"'Sheet1'!$L$16"}</definedName>
    <definedName name="___Goi8" localSheetId="6" hidden="1">{"'Sheet1'!$L$16"}</definedName>
    <definedName name="___Goi8" hidden="1">{"'Sheet1'!$L$16"}</definedName>
    <definedName name="___h1" localSheetId="6" hidden="1">{"'Sheet1'!$L$16"}</definedName>
    <definedName name="___h1" hidden="1">{"'Sheet1'!$L$16"}</definedName>
    <definedName name="___h10" localSheetId="6" hidden="1">{#N/A,#N/A,FALSE,"Chi tiÆt"}</definedName>
    <definedName name="___h10" hidden="1">{#N/A,#N/A,FALSE,"Chi tiÆt"}</definedName>
    <definedName name="___h2" localSheetId="6" hidden="1">{"'Sheet1'!$L$16"}</definedName>
    <definedName name="___h2" hidden="1">{"'Sheet1'!$L$16"}</definedName>
    <definedName name="___h3" localSheetId="6" hidden="1">{"'Sheet1'!$L$16"}</definedName>
    <definedName name="___h3" hidden="1">{"'Sheet1'!$L$16"}</definedName>
    <definedName name="___h5" localSheetId="6" hidden="1">{"'Sheet1'!$L$16"}</definedName>
    <definedName name="___h5" hidden="1">{"'Sheet1'!$L$16"}</definedName>
    <definedName name="___h6" localSheetId="6" hidden="1">{"'Sheet1'!$L$16"}</definedName>
    <definedName name="___h6" hidden="1">{"'Sheet1'!$L$16"}</definedName>
    <definedName name="___h7" localSheetId="6" hidden="1">{"'Sheet1'!$L$16"}</definedName>
    <definedName name="___h7" hidden="1">{"'Sheet1'!$L$16"}</definedName>
    <definedName name="___h8" localSheetId="6" hidden="1">{"'Sheet1'!$L$16"}</definedName>
    <definedName name="___h8" hidden="1">{"'Sheet1'!$L$16"}</definedName>
    <definedName name="___h9" localSheetId="6" hidden="1">{"'Sheet1'!$L$16"}</definedName>
    <definedName name="___h9" hidden="1">{"'Sheet1'!$L$16"}</definedName>
    <definedName name="___HUY1" localSheetId="6" hidden="1">{"'Sheet1'!$L$16"}</definedName>
    <definedName name="___HUY1" hidden="1">{"'Sheet1'!$L$16"}</definedName>
    <definedName name="___HUY2" localSheetId="6" hidden="1">{"'Sheet1'!$L$16"}</definedName>
    <definedName name="___HUY2" hidden="1">{"'Sheet1'!$L$16"}</definedName>
    <definedName name="___Lan1" localSheetId="6" hidden="1">{"'Sheet1'!$L$16"}</definedName>
    <definedName name="___Lan1" hidden="1">{"'Sheet1'!$L$16"}</definedName>
    <definedName name="___LAN3" localSheetId="6" hidden="1">{"'Sheet1'!$L$16"}</definedName>
    <definedName name="___LAN3" hidden="1">{"'Sheet1'!$L$16"}</definedName>
    <definedName name="___lk2" localSheetId="6" hidden="1">{"'Sheet1'!$L$16"}</definedName>
    <definedName name="___lk2" hidden="1">{"'Sheet1'!$L$16"}</definedName>
    <definedName name="___NSO2" localSheetId="6" hidden="1">{"'Sheet1'!$L$16"}</definedName>
    <definedName name="___NSO2" hidden="1">{"'Sheet1'!$L$16"}</definedName>
    <definedName name="___PA3" localSheetId="6" hidden="1">{"'Sheet1'!$L$16"}</definedName>
    <definedName name="___PA3" hidden="1">{"'Sheet1'!$L$16"}</definedName>
    <definedName name="___Pl2" localSheetId="6" hidden="1">{"'Sheet1'!$L$16"}</definedName>
    <definedName name="___Pl2" hidden="1">{"'Sheet1'!$L$16"}</definedName>
    <definedName name="___Tru21" localSheetId="6" hidden="1">{"'Sheet1'!$L$16"}</definedName>
    <definedName name="___Tru21" hidden="1">{"'Sheet1'!$L$16"}</definedName>
    <definedName name="___tt3" localSheetId="6" hidden="1">{"'Sheet1'!$L$16"}</definedName>
    <definedName name="___tt3" hidden="1">{"'Sheet1'!$L$16"}</definedName>
    <definedName name="___TT31" localSheetId="6" hidden="1">{"'Sheet1'!$L$16"}</definedName>
    <definedName name="___TT31" hidden="1">{"'Sheet1'!$L$16"}</definedName>
    <definedName name="___vl2" localSheetId="6" hidden="1">{"'Sheet1'!$L$16"}</definedName>
    <definedName name="___vl2" hidden="1">{"'Sheet1'!$L$16"}</definedName>
    <definedName name="___VM2" localSheetId="6" hidden="1">{"'Sheet1'!$L$16"}</definedName>
    <definedName name="___VM2" hidden="1">{"'Sheet1'!$L$16"}</definedName>
    <definedName name="__a1" localSheetId="6" hidden="1">{"'Sheet1'!$L$16"}</definedName>
    <definedName name="__a1" hidden="1">{"'Sheet1'!$L$16"}</definedName>
    <definedName name="__ban2" localSheetId="6" hidden="1">{"'Sheet1'!$L$16"}</definedName>
    <definedName name="__ban2" hidden="1">{"'Sheet1'!$L$16"}</definedName>
    <definedName name="__cep1" localSheetId="6" hidden="1">{"'Sheet1'!$L$16"}</definedName>
    <definedName name="__cep1" hidden="1">{"'Sheet1'!$L$16"}</definedName>
    <definedName name="__Coc39" localSheetId="6" hidden="1">{"'Sheet1'!$L$16"}</definedName>
    <definedName name="__Coc39" hidden="1">{"'Sheet1'!$L$16"}</definedName>
    <definedName name="__Goi8" localSheetId="6" hidden="1">{"'Sheet1'!$L$16"}</definedName>
    <definedName name="__Goi8" hidden="1">{"'Sheet1'!$L$16"}</definedName>
    <definedName name="__h1" localSheetId="6" hidden="1">{"'Sheet1'!$L$16"}</definedName>
    <definedName name="__h1" hidden="1">{"'Sheet1'!$L$16"}</definedName>
    <definedName name="__h10" localSheetId="6" hidden="1">{#N/A,#N/A,FALSE,"Chi tiÆt"}</definedName>
    <definedName name="__h10" hidden="1">{#N/A,#N/A,FALSE,"Chi tiÆt"}</definedName>
    <definedName name="__h2" localSheetId="6" hidden="1">{"'Sheet1'!$L$16"}</definedName>
    <definedName name="__h2" hidden="1">{"'Sheet1'!$L$16"}</definedName>
    <definedName name="__h3" localSheetId="6" hidden="1">{"'Sheet1'!$L$16"}</definedName>
    <definedName name="__h3" hidden="1">{"'Sheet1'!$L$16"}</definedName>
    <definedName name="__h5" localSheetId="6" hidden="1">{"'Sheet1'!$L$16"}</definedName>
    <definedName name="__h5" hidden="1">{"'Sheet1'!$L$16"}</definedName>
    <definedName name="__h6" localSheetId="6" hidden="1">{"'Sheet1'!$L$16"}</definedName>
    <definedName name="__h6" hidden="1">{"'Sheet1'!$L$16"}</definedName>
    <definedName name="__h7" localSheetId="6" hidden="1">{"'Sheet1'!$L$16"}</definedName>
    <definedName name="__h7" hidden="1">{"'Sheet1'!$L$16"}</definedName>
    <definedName name="__h8" localSheetId="6" hidden="1">{"'Sheet1'!$L$16"}</definedName>
    <definedName name="__h8" hidden="1">{"'Sheet1'!$L$16"}</definedName>
    <definedName name="__h9" localSheetId="6" hidden="1">{"'Sheet1'!$L$16"}</definedName>
    <definedName name="__h9" hidden="1">{"'Sheet1'!$L$16"}</definedName>
    <definedName name="__HUY1" localSheetId="6" hidden="1">{"'Sheet1'!$L$16"}</definedName>
    <definedName name="__HUY1" hidden="1">{"'Sheet1'!$L$16"}</definedName>
    <definedName name="__HUY2" localSheetId="6" hidden="1">{"'Sheet1'!$L$16"}</definedName>
    <definedName name="__HUY2" hidden="1">{"'Sheet1'!$L$16"}</definedName>
    <definedName name="__Lan1" localSheetId="6" hidden="1">{"'Sheet1'!$L$16"}</definedName>
    <definedName name="__Lan1" hidden="1">{"'Sheet1'!$L$16"}</definedName>
    <definedName name="__LAN3" localSheetId="6" hidden="1">{"'Sheet1'!$L$16"}</definedName>
    <definedName name="__LAN3" hidden="1">{"'Sheet1'!$L$16"}</definedName>
    <definedName name="__lk2" localSheetId="6" hidden="1">{"'Sheet1'!$L$16"}</definedName>
    <definedName name="__lk2" hidden="1">{"'Sheet1'!$L$16"}</definedName>
    <definedName name="__NSO2" localSheetId="6" hidden="1">{"'Sheet1'!$L$16"}</definedName>
    <definedName name="__NSO2" hidden="1">{"'Sheet1'!$L$16"}</definedName>
    <definedName name="__PA3" localSheetId="6" hidden="1">{"'Sheet1'!$L$16"}</definedName>
    <definedName name="__PA3" hidden="1">{"'Sheet1'!$L$16"}</definedName>
    <definedName name="__Pl2" localSheetId="6" hidden="1">{"'Sheet1'!$L$16"}</definedName>
    <definedName name="__Pl2" hidden="1">{"'Sheet1'!$L$16"}</definedName>
    <definedName name="__Tru21" localSheetId="6" hidden="1">{"'Sheet1'!$L$16"}</definedName>
    <definedName name="__Tru21" hidden="1">{"'Sheet1'!$L$16"}</definedName>
    <definedName name="__tt3" localSheetId="6" hidden="1">{"'Sheet1'!$L$16"}</definedName>
    <definedName name="__tt3" hidden="1">{"'Sheet1'!$L$16"}</definedName>
    <definedName name="__TT31" localSheetId="6" hidden="1">{"'Sheet1'!$L$16"}</definedName>
    <definedName name="__TT31" hidden="1">{"'Sheet1'!$L$16"}</definedName>
    <definedName name="__vl2" localSheetId="6" hidden="1">{"'Sheet1'!$L$16"}</definedName>
    <definedName name="__vl2" hidden="1">{"'Sheet1'!$L$16"}</definedName>
    <definedName name="__VM2" localSheetId="6" hidden="1">{"'Sheet1'!$L$16"}</definedName>
    <definedName name="__VM2" hidden="1">{"'Sheet1'!$L$16"}</definedName>
    <definedName name="_ban2" localSheetId="6" hidden="1">{"'Sheet1'!$L$16"}</definedName>
    <definedName name="_ban2" hidden="1">{"'Sheet1'!$L$16"}</definedName>
    <definedName name="_cep1" localSheetId="6" hidden="1">{"'Sheet1'!$L$16"}</definedName>
    <definedName name="_cep1" hidden="1">{"'Sheet1'!$L$16"}</definedName>
    <definedName name="_Coc39" localSheetId="6" hidden="1">{"'Sheet1'!$L$16"}</definedName>
    <definedName name="_Coc39" hidden="1">{"'Sheet1'!$L$16"}</definedName>
    <definedName name="_Goi8" localSheetId="6" hidden="1">{"'Sheet1'!$L$16"}</definedName>
    <definedName name="_Goi8" hidden="1">{"'Sheet1'!$L$16"}</definedName>
    <definedName name="_h1" localSheetId="6" hidden="1">{"'Sheet1'!$L$16"}</definedName>
    <definedName name="_h1" hidden="1">{"'Sheet1'!$L$16"}</definedName>
    <definedName name="_h10" localSheetId="6" hidden="1">{#N/A,#N/A,FALSE,"Chi tiÆt"}</definedName>
    <definedName name="_h10" hidden="1">{#N/A,#N/A,FALSE,"Chi tiÆt"}</definedName>
    <definedName name="_h2" localSheetId="6" hidden="1">{"'Sheet1'!$L$16"}</definedName>
    <definedName name="_h2" hidden="1">{"'Sheet1'!$L$16"}</definedName>
    <definedName name="_h3" localSheetId="6" hidden="1">{"'Sheet1'!$L$16"}</definedName>
    <definedName name="_h3" hidden="1">{"'Sheet1'!$L$16"}</definedName>
    <definedName name="_h5" localSheetId="6" hidden="1">{"'Sheet1'!$L$16"}</definedName>
    <definedName name="_h5" hidden="1">{"'Sheet1'!$L$16"}</definedName>
    <definedName name="_h6" localSheetId="6" hidden="1">{"'Sheet1'!$L$16"}</definedName>
    <definedName name="_h6" hidden="1">{"'Sheet1'!$L$16"}</definedName>
    <definedName name="_h7" localSheetId="6" hidden="1">{"'Sheet1'!$L$16"}</definedName>
    <definedName name="_h7" hidden="1">{"'Sheet1'!$L$16"}</definedName>
    <definedName name="_h8" localSheetId="6" hidden="1">{"'Sheet1'!$L$16"}</definedName>
    <definedName name="_h8" hidden="1">{"'Sheet1'!$L$16"}</definedName>
    <definedName name="_h9" localSheetId="6" hidden="1">{"'Sheet1'!$L$16"}</definedName>
    <definedName name="_h9" hidden="1">{"'Sheet1'!$L$16"}</definedName>
    <definedName name="_HUY1" localSheetId="6" hidden="1">{"'Sheet1'!$L$16"}</definedName>
    <definedName name="_HUY1" hidden="1">{"'Sheet1'!$L$16"}</definedName>
    <definedName name="_HUY2" localSheetId="6" hidden="1">{"'Sheet1'!$L$16"}</definedName>
    <definedName name="_HUY2" hidden="1">{"'Sheet1'!$L$16"}</definedName>
    <definedName name="_Key1" localSheetId="6" hidden="1">#REF!</definedName>
    <definedName name="_Key1" hidden="1">#REF!</definedName>
    <definedName name="_Key2" localSheetId="6" hidden="1">#REF!</definedName>
    <definedName name="_Key2" hidden="1">#REF!</definedName>
    <definedName name="_Lan1" localSheetId="6" hidden="1">{"'Sheet1'!$L$16"}</definedName>
    <definedName name="_Lan1" hidden="1">{"'Sheet1'!$L$16"}</definedName>
    <definedName name="_LAN3" localSheetId="6" hidden="1">{"'Sheet1'!$L$16"}</definedName>
    <definedName name="_LAN3" hidden="1">{"'Sheet1'!$L$16"}</definedName>
    <definedName name="_lk2" localSheetId="6" hidden="1">{"'Sheet1'!$L$16"}</definedName>
    <definedName name="_lk2" hidden="1">{"'Sheet1'!$L$16"}</definedName>
    <definedName name="_NSO2" localSheetId="6" hidden="1">{"'Sheet1'!$L$16"}</definedName>
    <definedName name="_NSO2" hidden="1">{"'Sheet1'!$L$16"}</definedName>
    <definedName name="_Order1" hidden="1">255</definedName>
    <definedName name="_Order2" hidden="1">255</definedName>
    <definedName name="_PA3" localSheetId="6" hidden="1">{"'Sheet1'!$L$16"}</definedName>
    <definedName name="_PA3" hidden="1">{"'Sheet1'!$L$16"}</definedName>
    <definedName name="_Pl2" localSheetId="6" hidden="1">{"'Sheet1'!$L$16"}</definedName>
    <definedName name="_Pl2" hidden="1">{"'Sheet1'!$L$16"}</definedName>
    <definedName name="_Sort" localSheetId="6" hidden="1">#REF!</definedName>
    <definedName name="_Sort" hidden="1">#REF!</definedName>
    <definedName name="_Tru21" localSheetId="6" hidden="1">{"'Sheet1'!$L$16"}</definedName>
    <definedName name="_Tru21" hidden="1">{"'Sheet1'!$L$16"}</definedName>
    <definedName name="_tt3" localSheetId="6" hidden="1">{"'Sheet1'!$L$16"}</definedName>
    <definedName name="_tt3" hidden="1">{"'Sheet1'!$L$16"}</definedName>
    <definedName name="_TT31" localSheetId="6" hidden="1">{"'Sheet1'!$L$16"}</definedName>
    <definedName name="_TT31" hidden="1">{"'Sheet1'!$L$16"}</definedName>
    <definedName name="_vl2" localSheetId="6" hidden="1">{"'Sheet1'!$L$16"}</definedName>
    <definedName name="_vl2" hidden="1">{"'Sheet1'!$L$16"}</definedName>
    <definedName name="_VM2" localSheetId="6" hidden="1">{"'Sheet1'!$L$16"}</definedName>
    <definedName name="_VM2" hidden="1">{"'Sheet1'!$L$16"}</definedName>
    <definedName name="â" localSheetId="6" hidden="1">{"'Sheet1'!$L$16"}</definedName>
    <definedName name="â" hidden="1">{"'Sheet1'!$L$16"}</definedName>
    <definedName name="AccessDatabase" hidden="1">"C:\My Documents\LeBinh\Xls\VP Cong ty\FORM.mdb"</definedName>
    <definedName name="ADADADD" localSheetId="6" hidden="1">{"'Sheet1'!$L$16"}</definedName>
    <definedName name="ADADADD" hidden="1">{"'Sheet1'!$L$16"}</definedName>
    <definedName name="anscount" hidden="1">6</definedName>
    <definedName name="ATGT" localSheetId="6" hidden="1">{"'Sheet1'!$L$16"}</definedName>
    <definedName name="ATGT" hidden="1">{"'Sheet1'!$L$16"}</definedName>
    <definedName name="b" localSheetId="6" hidden="1">{"'Sheet1'!$L$16"}</definedName>
    <definedName name="b" hidden="1">{"'Sheet1'!$L$16"}</definedName>
    <definedName name="BCBo" localSheetId="6" hidden="1">{"'Sheet1'!$L$16"}</definedName>
    <definedName name="BCBo" hidden="1">{"'Sheet1'!$L$16"}</definedName>
    <definedName name="btnm3" localSheetId="6" hidden="1">{"'Sheet1'!$L$16"}</definedName>
    <definedName name="btnm3" hidden="1">{"'Sheet1'!$L$16"}</definedName>
    <definedName name="chitietbgiang2" localSheetId="6" hidden="1">{"'Sheet1'!$L$16"}</definedName>
    <definedName name="chitietbgiang2" hidden="1">{"'Sheet1'!$L$16"}</definedName>
    <definedName name="Coc_60" localSheetId="6" hidden="1">{"'Sheet1'!$L$16"}</definedName>
    <definedName name="Coc_60" hidden="1">{"'Sheet1'!$L$16"}</definedName>
    <definedName name="Code" localSheetId="6" hidden="1">#REF!</definedName>
    <definedName name="Code" hidden="1">#REF!</definedName>
    <definedName name="CTCT1" localSheetId="6" hidden="1">{"'Sheet1'!$L$16"}</definedName>
    <definedName name="CTCT1" hidden="1">{"'Sheet1'!$L$16"}</definedName>
    <definedName name="d" localSheetId="6" hidden="1">{"'Sheet1'!$L$16"}</definedName>
    <definedName name="d" hidden="1">{"'Sheet1'!$L$16"}</definedName>
    <definedName name="data1" localSheetId="6" hidden="1">#REF!</definedName>
    <definedName name="data1" hidden="1">#REF!</definedName>
    <definedName name="data2" localSheetId="6" hidden="1">#REF!</definedName>
    <definedName name="data2" hidden="1">#REF!</definedName>
    <definedName name="data3" localSheetId="6" hidden="1">#REF!</definedName>
    <definedName name="data3" hidden="1">#REF!</definedName>
    <definedName name="DenDK" localSheetId="6" hidden="1">{"'Sheet1'!$L$16"}</definedName>
    <definedName name="DenDK" hidden="1">{"'Sheet1'!$L$16"}</definedName>
    <definedName name="dfg" localSheetId="6" hidden="1">{"'Sheet1'!$L$16"}</definedName>
    <definedName name="dfg" hidden="1">{"'Sheet1'!$L$16"}</definedName>
    <definedName name="dgctp2" localSheetId="6" hidden="1">{"'Sheet1'!$L$16"}</definedName>
    <definedName name="dgctp2" hidden="1">{"'Sheet1'!$L$16"}</definedName>
    <definedName name="Discount" localSheetId="6" hidden="1">#REF!</definedName>
    <definedName name="Discount" hidden="1">#REF!</definedName>
    <definedName name="display_area_2" localSheetId="6" hidden="1">#REF!</definedName>
    <definedName name="display_area_2" hidden="1">#REF!</definedName>
    <definedName name="dsh" localSheetId="6" hidden="1">#REF!</definedName>
    <definedName name="dsh" hidden="1">#REF!</definedName>
    <definedName name="DUCANH" localSheetId="6" hidden="1">{"'Sheet1'!$L$16"}</definedName>
    <definedName name="DUCANH" hidden="1">{"'Sheet1'!$L$16"}</definedName>
    <definedName name="E" localSheetId="6" hidden="1">{#N/A,#N/A,FALSE,"BN (2)"}</definedName>
    <definedName name="E" hidden="1">{#N/A,#N/A,FALSE,"BN (2)"}</definedName>
    <definedName name="f" localSheetId="6" hidden="1">{"'Sheet1'!$L$16"}</definedName>
    <definedName name="f" hidden="1">{"'Sheet1'!$L$16"}</definedName>
    <definedName name="FCode" localSheetId="6" hidden="1">#REF!</definedName>
    <definedName name="FCode" hidden="1">#REF!</definedName>
    <definedName name="fsdfdsf" localSheetId="6" hidden="1">{"'Sheet1'!$L$16"}</definedName>
    <definedName name="fsdfdsf" hidden="1">{"'Sheet1'!$L$16"}</definedName>
    <definedName name="g" localSheetId="6" hidden="1">{"'Sheet1'!$L$16"}</definedName>
    <definedName name="g" hidden="1">{"'Sheet1'!$L$16"}</definedName>
    <definedName name="h" localSheetId="6" hidden="1">{"'Sheet1'!$L$16"}</definedName>
    <definedName name="h" hidden="1">{"'Sheet1'!$L$16"}</definedName>
    <definedName name="HANG" localSheetId="6" hidden="1">{#N/A,#N/A,FALSE,"Chi tiÆt"}</definedName>
    <definedName name="HANG" hidden="1">{#N/A,#N/A,FALSE,"Chi tiÆt"}</definedName>
    <definedName name="hhh" localSheetId="6" hidden="1">{"'Sheet1'!$L$16"}</definedName>
    <definedName name="hhh" hidden="1">{"'Sheet1'!$L$16"}</definedName>
    <definedName name="HiddenRows" localSheetId="6" hidden="1">#REF!</definedName>
    <definedName name="HiddenRows" hidden="1">#REF!</definedName>
    <definedName name="HIHIHIHOI" localSheetId="6" hidden="1">{"'Sheet1'!$L$16"}</definedName>
    <definedName name="HIHIHIHOI" hidden="1">{"'Sheet1'!$L$16"}</definedName>
    <definedName name="hj" localSheetId="6" hidden="1">{"'Sheet1'!$L$16"}</definedName>
    <definedName name="hj" hidden="1">{"'Sheet1'!$L$16"}</definedName>
    <definedName name="HJKL" localSheetId="6" hidden="1">{"'Sheet1'!$L$16"}</definedName>
    <definedName name="HJKL" hidden="1">{"'Sheet1'!$L$16"}</definedName>
    <definedName name="htlm" localSheetId="6" hidden="1">{"'Sheet1'!$L$16"}</definedName>
    <definedName name="htlm" hidden="1">{"'Sheet1'!$L$16"}</definedName>
    <definedName name="HTML_CodePage" hidden="1">950</definedName>
    <definedName name="HTML_Control" localSheetId="6" hidden="1">{"'Sheet1'!$L$16"}</definedName>
    <definedName name="HTML_Control" hidden="1">{"'Sheet1'!$L$16"}</definedName>
    <definedName name="HTML_Description" hidden="1">""</definedName>
    <definedName name="HTML_Email" hidden="1">""</definedName>
    <definedName name="HTML_Header" hidden="1">"Sheet1"</definedName>
    <definedName name="HTML_LastUpdate" hidden="1">"2000/9/14"</definedName>
    <definedName name="HTML_LineAfter" hidden="1">FALSE</definedName>
    <definedName name="HTML_LineBefore" hidden="1">FALSE</definedName>
    <definedName name="HTML_Name" hidden="1">"J.C.WONG"</definedName>
    <definedName name="HTML_OBDlg2" hidden="1">TRUE</definedName>
    <definedName name="HTML_OBDlg4" hidden="1">TRUE</definedName>
    <definedName name="HTML_OS" hidden="1">0</definedName>
    <definedName name="HTML_PathFile" hidden="1">"C:\2689\Q\國內\00q3961台化龍德PTA3建造\MyHTML.htm"</definedName>
    <definedName name="HTML_Title" hidden="1">"00Q3961-SUM"</definedName>
    <definedName name="htrhrt" localSheetId="6" hidden="1">{"'Sheet1'!$L$16"}</definedName>
    <definedName name="htrhrt" hidden="1">{"'Sheet1'!$L$16"}</definedName>
    <definedName name="hu" localSheetId="6" hidden="1">{"'Sheet1'!$L$16"}</definedName>
    <definedName name="hu" hidden="1">{"'Sheet1'!$L$16"}</definedName>
    <definedName name="huy" localSheetId="6" hidden="1">{"'Sheet1'!$L$16"}</definedName>
    <definedName name="huy" hidden="1">{"'Sheet1'!$L$16"}</definedName>
    <definedName name="KHANHKHUNG" localSheetId="6" hidden="1">{"'Sheet1'!$L$16"}</definedName>
    <definedName name="KHANHKHUNG" hidden="1">{"'Sheet1'!$L$16"}</definedName>
    <definedName name="khla09" localSheetId="6" hidden="1">{"'Sheet1'!$L$16"}</definedName>
    <definedName name="khla09" hidden="1">{"'Sheet1'!$L$16"}</definedName>
    <definedName name="khongtruotgia" localSheetId="6" hidden="1">{"'Sheet1'!$L$16"}</definedName>
    <definedName name="khongtruotgia" hidden="1">{"'Sheet1'!$L$16"}</definedName>
    <definedName name="khvh09" localSheetId="6" hidden="1">{"'Sheet1'!$L$16"}</definedName>
    <definedName name="khvh09" hidden="1">{"'Sheet1'!$L$16"}</definedName>
    <definedName name="KHYt09" localSheetId="6" hidden="1">{"'Sheet1'!$L$16"}</definedName>
    <definedName name="KHYt09" hidden="1">{"'Sheet1'!$L$16"}</definedName>
    <definedName name="KLduonggiaods" localSheetId="6" hidden="1">{"'Sheet1'!$L$16"}</definedName>
    <definedName name="KLduonggiaods" hidden="1">{"'Sheet1'!$L$16"}</definedName>
    <definedName name="komtun" localSheetId="6" hidden="1">{"'Sheet1'!$L$16"}</definedName>
    <definedName name="komtun" hidden="1">{"'Sheet1'!$L$16"}</definedName>
    <definedName name="kontum" localSheetId="6" hidden="1">{#N/A,#N/A,TRUE,"BT M200 da 10x20"}</definedName>
    <definedName name="kontum" hidden="1">{#N/A,#N/A,TRUE,"BT M200 da 10x20"}</definedName>
    <definedName name="ksbn" localSheetId="6" hidden="1">{"'Sheet1'!$L$16"}</definedName>
    <definedName name="ksbn" hidden="1">{"'Sheet1'!$L$16"}</definedName>
    <definedName name="kshn" localSheetId="6" hidden="1">{"'Sheet1'!$L$16"}</definedName>
    <definedName name="kshn" hidden="1">{"'Sheet1'!$L$16"}</definedName>
    <definedName name="ksls" localSheetId="6" hidden="1">{"'Sheet1'!$L$16"}</definedName>
    <definedName name="ksls" hidden="1">{"'Sheet1'!$L$16"}</definedName>
    <definedName name="lan" localSheetId="6" hidden="1">{#N/A,#N/A,TRUE,"BT M200 da 10x20"}</definedName>
    <definedName name="lan" hidden="1">{#N/A,#N/A,TRUE,"BT M200 da 10x20"}</definedName>
    <definedName name="langson" localSheetId="6" hidden="1">{"'Sheet1'!$L$16"}</definedName>
    <definedName name="langson" hidden="1">{"'Sheet1'!$L$16"}</definedName>
    <definedName name="mo" localSheetId="6" hidden="1">{"'Sheet1'!$L$16"}</definedName>
    <definedName name="mo" hidden="1">{"'Sheet1'!$L$16"}</definedName>
    <definedName name="NHANH2_CG4" localSheetId="6" hidden="1">{"'Sheet1'!$L$16"}</definedName>
    <definedName name="NHANH2_CG4" hidden="1">{"'Sheet1'!$L$16"}</definedName>
    <definedName name="OrderTable" localSheetId="6" hidden="1">#REF!</definedName>
    <definedName name="OrderTable" hidden="1">#REF!</definedName>
    <definedName name="PAIII_" localSheetId="6" hidden="1">{"'Sheet1'!$L$16"}</definedName>
    <definedName name="PAIII_" hidden="1">{"'Sheet1'!$L$16"}</definedName>
    <definedName name="PMS" localSheetId="6" hidden="1">{"'Sheet1'!$L$16"}</definedName>
    <definedName name="PMS" hidden="1">{"'Sheet1'!$L$16"}</definedName>
    <definedName name="_xlnm.Print_Area" localSheetId="3">'65_QT'!$A$1:$E$44</definedName>
    <definedName name="_xlnm.Print_Area" localSheetId="6">'68_QT'!$A$1:$BO$52</definedName>
    <definedName name="_xlnm.Print_Titles" localSheetId="1">'63_QT'!$6:$7</definedName>
    <definedName name="_xlnm.Print_Titles" localSheetId="2">'64_QT '!$5:$7</definedName>
    <definedName name="_xlnm.Print_Titles" localSheetId="3">'65_QT'!$6:$7</definedName>
    <definedName name="_xlnm.Print_Titles" localSheetId="4">'66_QT '!$7:$10</definedName>
    <definedName name="ProdForm" localSheetId="6" hidden="1">#REF!</definedName>
    <definedName name="ProdForm" hidden="1">#REF!</definedName>
    <definedName name="Product" localSheetId="6" hidden="1">#REF!</definedName>
    <definedName name="Product" hidden="1">#REF!</definedName>
    <definedName name="RCArea" localSheetId="6" hidden="1">#REF!</definedName>
    <definedName name="RCArea" hidden="1">#REF!</definedName>
    <definedName name="re" localSheetId="6" hidden="1">{"'Sheet1'!$L$16"}</definedName>
    <definedName name="re" hidden="1">{"'Sheet1'!$L$16"}</definedName>
    <definedName name="RGHGSD" localSheetId="6" hidden="1">{"'Sheet1'!$L$16"}</definedName>
    <definedName name="RGHGSD" hidden="1">{"'Sheet1'!$L$16"}</definedName>
    <definedName name="rr" localSheetId="6" hidden="1">{"'Sheet1'!$L$16"}</definedName>
    <definedName name="rr" hidden="1">{"'Sheet1'!$L$16"}</definedName>
    <definedName name="sdbv" localSheetId="6" hidden="1">{"'Sheet1'!$L$16"}</definedName>
    <definedName name="sdbv" hidden="1">{"'Sheet1'!$L$16"}</definedName>
    <definedName name="Sosanh2" localSheetId="6" hidden="1">{"'Sheet1'!$L$16"}</definedName>
    <definedName name="Sosanh2" hidden="1">{"'Sheet1'!$L$16"}</definedName>
    <definedName name="SpecialPrice" localSheetId="6" hidden="1">#REF!</definedName>
    <definedName name="SpecialPrice" hidden="1">#REF!</definedName>
    <definedName name="T.3" localSheetId="6" hidden="1">{"'Sheet1'!$L$16"}</definedName>
    <definedName name="T.3" hidden="1">{"'Sheet1'!$L$16"}</definedName>
    <definedName name="tbl_ProdInfo" localSheetId="6" hidden="1">#REF!</definedName>
    <definedName name="tbl_ProdInfo" hidden="1">#REF!</definedName>
    <definedName name="tha" localSheetId="6" hidden="1">{"'Sheet1'!$L$16"}</definedName>
    <definedName name="tha" hidden="1">{"'Sheet1'!$L$16"}</definedName>
    <definedName name="trong" localSheetId="6" hidden="1">{"'Sheet1'!$L$16"}</definedName>
    <definedName name="trong" hidden="1">{"'Sheet1'!$L$16"}</definedName>
    <definedName name="ttttt" localSheetId="6" hidden="1">{"'Sheet1'!$L$16"}</definedName>
    <definedName name="ttttt" hidden="1">{"'Sheet1'!$L$16"}</definedName>
    <definedName name="ttttttttttt" localSheetId="6" hidden="1">{"'Sheet1'!$L$16"}</definedName>
    <definedName name="ttttttttttt" hidden="1">{"'Sheet1'!$L$16"}</definedName>
    <definedName name="tuyennhanh" localSheetId="6" hidden="1">{"'Sheet1'!$L$16"}</definedName>
    <definedName name="tuyennhanh" hidden="1">{"'Sheet1'!$L$16"}</definedName>
    <definedName name="uu" localSheetId="6" hidden="1">{"'Sheet1'!$L$16"}</definedName>
    <definedName name="uu" hidden="1">{"'Sheet1'!$L$16"}</definedName>
    <definedName name="VATM" localSheetId="6" hidden="1">{"'Sheet1'!$L$16"}</definedName>
    <definedName name="VATM" hidden="1">{"'Sheet1'!$L$16"}</definedName>
    <definedName name="vcoto" localSheetId="6" hidden="1">{"'Sheet1'!$L$16"}</definedName>
    <definedName name="vcoto" hidden="1">{"'Sheet1'!$L$16"}</definedName>
    <definedName name="VH" localSheetId="6" hidden="1">{"'Sheet1'!$L$16"}</definedName>
    <definedName name="VH" hidden="1">{"'Sheet1'!$L$16"}</definedName>
    <definedName name="Viet" localSheetId="6" hidden="1">{"'Sheet1'!$L$16"}</definedName>
    <definedName name="Viet" hidden="1">{"'Sheet1'!$L$16"}</definedName>
    <definedName name="vlct" localSheetId="6" hidden="1">{"'Sheet1'!$L$16"}</definedName>
    <definedName name="vlct" hidden="1">{"'Sheet1'!$L$16"}</definedName>
    <definedName name="wrn.Bang._.ke._.nhan._.hang." localSheetId="6" hidden="1">{#N/A,#N/A,FALSE,"Ke khai NH"}</definedName>
    <definedName name="wrn.Bang._.ke._.nhan._.hang." hidden="1">{#N/A,#N/A,FALSE,"Ke khai NH"}</definedName>
    <definedName name="wrn.Che._.do._.duoc._.huong." localSheetId="6" hidden="1">{#N/A,#N/A,FALSE,"BN (2)"}</definedName>
    <definedName name="wrn.Che._.do._.duoc._.huong." hidden="1">{#N/A,#N/A,FALSE,"BN (2)"}</definedName>
    <definedName name="wrn.chi._.tiÆt." localSheetId="6" hidden="1">{#N/A,#N/A,FALSE,"Chi tiÆt"}</definedName>
    <definedName name="wrn.chi._.tiÆt." hidden="1">{#N/A,#N/A,FALSE,"Chi tiÆt"}</definedName>
    <definedName name="wrn.Giáy._.bao._.no." localSheetId="6" hidden="1">{#N/A,#N/A,FALSE,"BN"}</definedName>
    <definedName name="wrn.Giáy._.bao._.no." hidden="1">{#N/A,#N/A,FALSE,"BN"}</definedName>
    <definedName name="wrn.vd." localSheetId="6" hidden="1">{#N/A,#N/A,TRUE,"BT M200 da 10x20"}</definedName>
    <definedName name="wrn.vd." hidden="1">{#N/A,#N/A,TRUE,"BT M200 da 10x20"}</definedName>
    <definedName name="xls" localSheetId="6" hidden="1">{"'Sheet1'!$L$16"}</definedName>
    <definedName name="xls" hidden="1">{"'Sheet1'!$L$16"}</definedName>
    <definedName name="xlttbninh" localSheetId="6" hidden="1">{"'Sheet1'!$L$16"}</definedName>
    <definedName name="xlttbninh" hidden="1">{"'Sheet1'!$L$16"}</definedName>
  </definedNames>
  <calcPr calcId="191029"/>
</workbook>
</file>

<file path=xl/calcChain.xml><?xml version="1.0" encoding="utf-8"?>
<calcChain xmlns="http://schemas.openxmlformats.org/spreadsheetml/2006/main">
  <c r="BN39" i="22" l="1"/>
  <c r="BM39" i="22"/>
  <c r="BI39" i="22"/>
  <c r="BA39" i="22"/>
  <c r="AY39" i="22"/>
  <c r="Z13" i="22"/>
  <c r="AG13" i="22"/>
  <c r="AI13" i="22"/>
  <c r="AW13" i="22"/>
  <c r="AX13" i="22"/>
  <c r="BK51" i="22"/>
  <c r="BG51" i="22"/>
  <c r="BD51" i="22"/>
  <c r="AV51" i="22"/>
  <c r="AS51" i="22"/>
  <c r="AO51" i="22"/>
  <c r="AL51" i="22"/>
  <c r="AH51" i="22"/>
  <c r="AE51" i="22"/>
  <c r="Y51" i="22"/>
  <c r="X51" i="22" s="1"/>
  <c r="V51" i="22"/>
  <c r="U51" i="22" s="1"/>
  <c r="R51" i="22"/>
  <c r="BN51" i="22" s="1"/>
  <c r="N51" i="22"/>
  <c r="J51" i="22"/>
  <c r="G51" i="22"/>
  <c r="BK50" i="22"/>
  <c r="BG50" i="22"/>
  <c r="BD50" i="22"/>
  <c r="AV50" i="22"/>
  <c r="AS50" i="22"/>
  <c r="AO50" i="22"/>
  <c r="AL50" i="22"/>
  <c r="AH50" i="22"/>
  <c r="AE50" i="22"/>
  <c r="Y50" i="22"/>
  <c r="X50" i="22" s="1"/>
  <c r="V50" i="22"/>
  <c r="U50" i="22" s="1"/>
  <c r="R50" i="22"/>
  <c r="BN50" i="22" s="1"/>
  <c r="N50" i="22"/>
  <c r="J50" i="22"/>
  <c r="G50" i="22"/>
  <c r="BK49" i="22"/>
  <c r="BG49" i="22"/>
  <c r="AV49" i="22"/>
  <c r="AS49" i="22"/>
  <c r="AO49" i="22"/>
  <c r="AL49" i="22"/>
  <c r="AH49" i="22"/>
  <c r="AE49" i="22"/>
  <c r="Y49" i="22"/>
  <c r="X49" i="22" s="1"/>
  <c r="V49" i="22"/>
  <c r="U49" i="22" s="1"/>
  <c r="R49" i="22"/>
  <c r="N49" i="22"/>
  <c r="J49" i="22"/>
  <c r="G49" i="22"/>
  <c r="BK48" i="22"/>
  <c r="BG48" i="22"/>
  <c r="AV48" i="22"/>
  <c r="AS48" i="22"/>
  <c r="AO48" i="22"/>
  <c r="AL48" i="22"/>
  <c r="AH48" i="22"/>
  <c r="AE48" i="22"/>
  <c r="Y48" i="22"/>
  <c r="X48" i="22" s="1"/>
  <c r="U48" i="22"/>
  <c r="R48" i="22"/>
  <c r="Q48" i="22" s="1"/>
  <c r="N48" i="22"/>
  <c r="J48" i="22"/>
  <c r="G48" i="22"/>
  <c r="BK47" i="22"/>
  <c r="BG47" i="22"/>
  <c r="AV47" i="22"/>
  <c r="AS47" i="22"/>
  <c r="AO47" i="22"/>
  <c r="AL47" i="22"/>
  <c r="AH47" i="22"/>
  <c r="AE47" i="22"/>
  <c r="Y47" i="22"/>
  <c r="X47" i="22" s="1"/>
  <c r="V47" i="22"/>
  <c r="U47" i="22" s="1"/>
  <c r="R47" i="22"/>
  <c r="Q47" i="22" s="1"/>
  <c r="N47" i="22"/>
  <c r="J47" i="22"/>
  <c r="G47" i="22"/>
  <c r="BK46" i="22"/>
  <c r="BG46" i="22"/>
  <c r="BD46" i="22"/>
  <c r="AV46" i="22"/>
  <c r="AS46" i="22"/>
  <c r="AO46" i="22"/>
  <c r="AL46" i="22"/>
  <c r="AH46" i="22"/>
  <c r="AE46" i="22"/>
  <c r="Y46" i="22"/>
  <c r="X46" i="22" s="1"/>
  <c r="V46" i="22"/>
  <c r="R46" i="22"/>
  <c r="Q46" i="22" s="1"/>
  <c r="N46" i="22"/>
  <c r="J46" i="22"/>
  <c r="G46" i="22"/>
  <c r="BK45" i="22"/>
  <c r="BG45" i="22"/>
  <c r="AV45" i="22"/>
  <c r="AS45" i="22"/>
  <c r="AO45" i="22"/>
  <c r="AL45" i="22"/>
  <c r="AH45" i="22"/>
  <c r="AE45" i="22"/>
  <c r="Y45" i="22"/>
  <c r="X45" i="22" s="1"/>
  <c r="V45" i="22"/>
  <c r="U45" i="22" s="1"/>
  <c r="R45" i="22"/>
  <c r="BN45" i="22" s="1"/>
  <c r="N45" i="22"/>
  <c r="J45" i="22"/>
  <c r="G45" i="22"/>
  <c r="BG44" i="22"/>
  <c r="AV44" i="22"/>
  <c r="AS44" i="22"/>
  <c r="AR44" i="22" s="1"/>
  <c r="AO44" i="22"/>
  <c r="AL44" i="22"/>
  <c r="AH44" i="22"/>
  <c r="AE44" i="22"/>
  <c r="Y44" i="22"/>
  <c r="X44" i="22" s="1"/>
  <c r="U44" i="22"/>
  <c r="R44" i="22"/>
  <c r="BN44" i="22" s="1"/>
  <c r="Q44" i="22"/>
  <c r="O44" i="22"/>
  <c r="J44" i="22"/>
  <c r="G44" i="22"/>
  <c r="BK43" i="22"/>
  <c r="BG43" i="22"/>
  <c r="AV43" i="22"/>
  <c r="AS43" i="22"/>
  <c r="AR43" i="22" s="1"/>
  <c r="AO43" i="22"/>
  <c r="AL43" i="22"/>
  <c r="AH43" i="22"/>
  <c r="AE43" i="22"/>
  <c r="Y43" i="22"/>
  <c r="V43" i="22"/>
  <c r="U43" i="22" s="1"/>
  <c r="R43" i="22"/>
  <c r="Q43" i="22" s="1"/>
  <c r="N43" i="22"/>
  <c r="J43" i="22"/>
  <c r="G43" i="22"/>
  <c r="BK42" i="22"/>
  <c r="BG42" i="22"/>
  <c r="AV42" i="22"/>
  <c r="AS42" i="22"/>
  <c r="AO42" i="22"/>
  <c r="AL42" i="22"/>
  <c r="AH42" i="22"/>
  <c r="AE42" i="22"/>
  <c r="X42" i="22"/>
  <c r="U42" i="22"/>
  <c r="R42" i="22"/>
  <c r="BN42" i="22" s="1"/>
  <c r="N42" i="22"/>
  <c r="J42" i="22"/>
  <c r="G42" i="22"/>
  <c r="F42" i="22" s="1"/>
  <c r="AX41" i="22"/>
  <c r="AW41" i="22"/>
  <c r="AU41" i="22"/>
  <c r="AT41" i="22"/>
  <c r="AQ41" i="22"/>
  <c r="AP41" i="22"/>
  <c r="AN41" i="22"/>
  <c r="AM41" i="22"/>
  <c r="AJ41" i="22"/>
  <c r="AI41" i="22"/>
  <c r="AG41" i="22"/>
  <c r="AF41" i="22"/>
  <c r="Z41" i="22"/>
  <c r="W41" i="22"/>
  <c r="S41" i="22"/>
  <c r="P41" i="22"/>
  <c r="L41" i="22"/>
  <c r="K41" i="22"/>
  <c r="I41" i="22"/>
  <c r="H41" i="22"/>
  <c r="AV40" i="22"/>
  <c r="AS40" i="22"/>
  <c r="AO40" i="22"/>
  <c r="AL40" i="22"/>
  <c r="AK40" i="22" s="1"/>
  <c r="AH40" i="22"/>
  <c r="AE40" i="22"/>
  <c r="X40" i="22"/>
  <c r="U40" i="22"/>
  <c r="Q40" i="22"/>
  <c r="N40" i="22"/>
  <c r="J40" i="22"/>
  <c r="G40" i="22"/>
  <c r="F40" i="22" s="1"/>
  <c r="AV38" i="22"/>
  <c r="AS38" i="22"/>
  <c r="AO38" i="22"/>
  <c r="AL38" i="22"/>
  <c r="AH38" i="22"/>
  <c r="AE38" i="22"/>
  <c r="X38" i="22"/>
  <c r="U38" i="22"/>
  <c r="Q38" i="22"/>
  <c r="N38" i="22"/>
  <c r="J38" i="22"/>
  <c r="G38" i="22"/>
  <c r="AV37" i="22"/>
  <c r="AS37" i="22"/>
  <c r="AO37" i="22"/>
  <c r="AL37" i="22"/>
  <c r="AH37" i="22"/>
  <c r="AE37" i="22"/>
  <c r="Y37" i="22"/>
  <c r="X37" i="22" s="1"/>
  <c r="U37" i="22"/>
  <c r="Q37" i="22"/>
  <c r="N37" i="22"/>
  <c r="J37" i="22"/>
  <c r="G37" i="22"/>
  <c r="AV36" i="22"/>
  <c r="AS36" i="22"/>
  <c r="AO36" i="22"/>
  <c r="AL36" i="22"/>
  <c r="AH36" i="22"/>
  <c r="AE36" i="22"/>
  <c r="Y36" i="22"/>
  <c r="X36" i="22" s="1"/>
  <c r="U36" i="22"/>
  <c r="Q36" i="22"/>
  <c r="N36" i="22"/>
  <c r="J36" i="22"/>
  <c r="G36" i="22"/>
  <c r="AV35" i="22"/>
  <c r="AS35" i="22"/>
  <c r="AO35" i="22"/>
  <c r="AL35" i="22"/>
  <c r="AH35" i="22"/>
  <c r="AE35" i="22"/>
  <c r="X35" i="22"/>
  <c r="U35" i="22"/>
  <c r="Q35" i="22"/>
  <c r="N35" i="22"/>
  <c r="M35" i="22" s="1"/>
  <c r="J35" i="22"/>
  <c r="G35" i="22"/>
  <c r="AV34" i="22"/>
  <c r="AS34" i="22"/>
  <c r="AO34" i="22"/>
  <c r="AL34" i="22"/>
  <c r="AH34" i="22"/>
  <c r="AE34" i="22"/>
  <c r="AD34" i="22" s="1"/>
  <c r="X34" i="22"/>
  <c r="U34" i="22"/>
  <c r="Q34" i="22"/>
  <c r="N34" i="22"/>
  <c r="J34" i="22"/>
  <c r="G34" i="22"/>
  <c r="AV33" i="22"/>
  <c r="AS33" i="22"/>
  <c r="AO33" i="22"/>
  <c r="AL33" i="22"/>
  <c r="AH33" i="22"/>
  <c r="AE33" i="22"/>
  <c r="X33" i="22"/>
  <c r="U33" i="22"/>
  <c r="Q33" i="22"/>
  <c r="N33" i="22"/>
  <c r="M33" i="22" s="1"/>
  <c r="J33" i="22"/>
  <c r="G33" i="22"/>
  <c r="BK32" i="22"/>
  <c r="BG32" i="22"/>
  <c r="AV32" i="22"/>
  <c r="AS32" i="22"/>
  <c r="AO32" i="22"/>
  <c r="AL32" i="22"/>
  <c r="AK32" i="22" s="1"/>
  <c r="AH32" i="22"/>
  <c r="AE32" i="22"/>
  <c r="X32" i="22"/>
  <c r="U32" i="22"/>
  <c r="Q32" i="22"/>
  <c r="N32" i="22"/>
  <c r="J32" i="22"/>
  <c r="G32" i="22"/>
  <c r="AV31" i="22"/>
  <c r="AS31" i="22"/>
  <c r="AO31" i="22"/>
  <c r="AL31" i="22"/>
  <c r="AH31" i="22"/>
  <c r="AE31" i="22"/>
  <c r="X31" i="22"/>
  <c r="U31" i="22"/>
  <c r="T31" i="22" s="1"/>
  <c r="Q31" i="22"/>
  <c r="N31" i="22"/>
  <c r="J31" i="22"/>
  <c r="G31" i="22"/>
  <c r="AV30" i="22"/>
  <c r="AS30" i="22"/>
  <c r="AO30" i="22"/>
  <c r="AL30" i="22"/>
  <c r="AH30" i="22"/>
  <c r="AE30" i="22"/>
  <c r="X30" i="22"/>
  <c r="U30" i="22"/>
  <c r="Q30" i="22"/>
  <c r="N30" i="22"/>
  <c r="J30" i="22"/>
  <c r="G30" i="22"/>
  <c r="BN29" i="22"/>
  <c r="BG29" i="22"/>
  <c r="AV29" i="22"/>
  <c r="AS29" i="22"/>
  <c r="AO29" i="22"/>
  <c r="AL29" i="22"/>
  <c r="AH29" i="22"/>
  <c r="AE29" i="22"/>
  <c r="AD29" i="22" s="1"/>
  <c r="X29" i="22"/>
  <c r="V29" i="22"/>
  <c r="U29" i="22" s="1"/>
  <c r="Q29" i="22"/>
  <c r="N29" i="22"/>
  <c r="J29" i="22"/>
  <c r="G29" i="22"/>
  <c r="AV28" i="22"/>
  <c r="AS28" i="22"/>
  <c r="AO28" i="22"/>
  <c r="AL28" i="22"/>
  <c r="AH28" i="22"/>
  <c r="AE28" i="22"/>
  <c r="X28" i="22"/>
  <c r="U28" i="22"/>
  <c r="Q28" i="22"/>
  <c r="N28" i="22"/>
  <c r="J28" i="22"/>
  <c r="G28" i="22"/>
  <c r="BN27" i="22"/>
  <c r="AV27" i="22"/>
  <c r="AS27" i="22"/>
  <c r="AO27" i="22"/>
  <c r="AL27" i="22"/>
  <c r="AH27" i="22"/>
  <c r="AE27" i="22"/>
  <c r="X27" i="22"/>
  <c r="U27" i="22"/>
  <c r="Q27" i="22"/>
  <c r="N27" i="22"/>
  <c r="J27" i="22"/>
  <c r="G27" i="22"/>
  <c r="BN26" i="22"/>
  <c r="AV26" i="22"/>
  <c r="AS26" i="22"/>
  <c r="AO26" i="22"/>
  <c r="AL26" i="22"/>
  <c r="AH26" i="22"/>
  <c r="AE26" i="22"/>
  <c r="X26" i="22"/>
  <c r="U26" i="22"/>
  <c r="Q26" i="22"/>
  <c r="N26" i="22"/>
  <c r="J26" i="22"/>
  <c r="G26" i="22"/>
  <c r="F26" i="22" s="1"/>
  <c r="BN25" i="22"/>
  <c r="AV25" i="22"/>
  <c r="AS25" i="22"/>
  <c r="AO25" i="22"/>
  <c r="AL25" i="22"/>
  <c r="AH25" i="22"/>
  <c r="AE25" i="22"/>
  <c r="X25" i="22"/>
  <c r="U25" i="22"/>
  <c r="Q25" i="22"/>
  <c r="N25" i="22"/>
  <c r="J25" i="22"/>
  <c r="G25" i="22"/>
  <c r="AV24" i="22"/>
  <c r="AS24" i="22"/>
  <c r="AO24" i="22"/>
  <c r="AL24" i="22"/>
  <c r="AH24" i="22"/>
  <c r="AE24" i="22"/>
  <c r="X24" i="22"/>
  <c r="U24" i="22"/>
  <c r="Q24" i="22"/>
  <c r="N24" i="22"/>
  <c r="J24" i="22"/>
  <c r="G24" i="22"/>
  <c r="BN23" i="22"/>
  <c r="AV23" i="22"/>
  <c r="AS23" i="22"/>
  <c r="AO23" i="22"/>
  <c r="AL23" i="22"/>
  <c r="AH23" i="22"/>
  <c r="AE23" i="22"/>
  <c r="X23" i="22"/>
  <c r="U23" i="22"/>
  <c r="Q23" i="22"/>
  <c r="N23" i="22"/>
  <c r="J23" i="22"/>
  <c r="G23" i="22"/>
  <c r="AV22" i="22"/>
  <c r="AS22" i="22"/>
  <c r="AO22" i="22"/>
  <c r="AL22" i="22"/>
  <c r="AH22" i="22"/>
  <c r="AE22" i="22"/>
  <c r="X22" i="22"/>
  <c r="U22" i="22"/>
  <c r="R22" i="22"/>
  <c r="BN22" i="22" s="1"/>
  <c r="N22" i="22"/>
  <c r="J22" i="22"/>
  <c r="F22" i="22" s="1"/>
  <c r="BN21" i="22"/>
  <c r="AV21" i="22"/>
  <c r="AS21" i="22"/>
  <c r="AO21" i="22"/>
  <c r="AL21" i="22"/>
  <c r="AH21" i="22"/>
  <c r="AE21" i="22"/>
  <c r="X21" i="22"/>
  <c r="U21" i="22"/>
  <c r="Q21" i="22"/>
  <c r="N21" i="22"/>
  <c r="J21" i="22"/>
  <c r="G21" i="22"/>
  <c r="BG20" i="22"/>
  <c r="BD20" i="22"/>
  <c r="AV20" i="22"/>
  <c r="AS20" i="22"/>
  <c r="AO20" i="22"/>
  <c r="AL20" i="22"/>
  <c r="AH20" i="22"/>
  <c r="AE20" i="22"/>
  <c r="X20" i="22"/>
  <c r="U20" i="22"/>
  <c r="Q20" i="22"/>
  <c r="N20" i="22"/>
  <c r="J20" i="22"/>
  <c r="G20" i="22"/>
  <c r="F20" i="22" s="1"/>
  <c r="BN19" i="22"/>
  <c r="AV19" i="22"/>
  <c r="AS19" i="22"/>
  <c r="AO19" i="22"/>
  <c r="AL19" i="22"/>
  <c r="AH19" i="22"/>
  <c r="AE19" i="22"/>
  <c r="Y19" i="22"/>
  <c r="X19" i="22" s="1"/>
  <c r="U19" i="22"/>
  <c r="Q19" i="22"/>
  <c r="N19" i="22"/>
  <c r="J19" i="22"/>
  <c r="G19" i="22"/>
  <c r="AV18" i="22"/>
  <c r="AS18" i="22"/>
  <c r="AO18" i="22"/>
  <c r="AL18" i="22"/>
  <c r="AH18" i="22"/>
  <c r="AE18" i="22"/>
  <c r="Y18" i="22"/>
  <c r="X18" i="22" s="1"/>
  <c r="U18" i="22"/>
  <c r="Q18" i="22"/>
  <c r="N18" i="22"/>
  <c r="J18" i="22"/>
  <c r="G18" i="22"/>
  <c r="AV17" i="22"/>
  <c r="AS17" i="22"/>
  <c r="AO17" i="22"/>
  <c r="AL17" i="22"/>
  <c r="AH17" i="22"/>
  <c r="AE17" i="22"/>
  <c r="X17" i="22"/>
  <c r="U17" i="22"/>
  <c r="Q17" i="22"/>
  <c r="N17" i="22"/>
  <c r="J17" i="22"/>
  <c r="G17" i="22"/>
  <c r="AV16" i="22"/>
  <c r="AS16" i="22"/>
  <c r="AO16" i="22"/>
  <c r="AL16" i="22"/>
  <c r="AH16" i="22"/>
  <c r="AE16" i="22"/>
  <c r="Y16" i="22"/>
  <c r="X16" i="22" s="1"/>
  <c r="U16" i="22"/>
  <c r="Q16" i="22"/>
  <c r="N16" i="22"/>
  <c r="J16" i="22"/>
  <c r="G16" i="22"/>
  <c r="BG15" i="22"/>
  <c r="BD15" i="22"/>
  <c r="AV15" i="22"/>
  <c r="AS15" i="22"/>
  <c r="AO15" i="22"/>
  <c r="AL15" i="22"/>
  <c r="AH15" i="22"/>
  <c r="AE15" i="22"/>
  <c r="X15" i="22"/>
  <c r="U15" i="22"/>
  <c r="Q15" i="22"/>
  <c r="N15" i="22"/>
  <c r="J15" i="22"/>
  <c r="G15" i="22"/>
  <c r="BG14" i="22"/>
  <c r="AV14" i="22"/>
  <c r="AS14" i="22"/>
  <c r="AP14" i="22"/>
  <c r="BN14" i="22" s="1"/>
  <c r="AL14" i="22"/>
  <c r="AH14" i="22"/>
  <c r="AE14" i="22"/>
  <c r="Y14" i="22"/>
  <c r="X14" i="22" s="1"/>
  <c r="V14" i="22"/>
  <c r="U14" i="22" s="1"/>
  <c r="Q14" i="22"/>
  <c r="O14" i="22"/>
  <c r="O13" i="22" s="1"/>
  <c r="J14" i="22"/>
  <c r="G14" i="22"/>
  <c r="AU13" i="22"/>
  <c r="AT13" i="22"/>
  <c r="AQ13" i="22"/>
  <c r="AQ12" i="22" s="1"/>
  <c r="AN13" i="22"/>
  <c r="AN12" i="22" s="1"/>
  <c r="AM13" i="22"/>
  <c r="AJ13" i="22"/>
  <c r="AJ12" i="22" s="1"/>
  <c r="AF13" i="22"/>
  <c r="W13" i="22"/>
  <c r="S13" i="22"/>
  <c r="S12" i="22" s="1"/>
  <c r="P13" i="22"/>
  <c r="L13" i="22"/>
  <c r="L12" i="22" s="1"/>
  <c r="K13" i="22"/>
  <c r="K12" i="22" s="1"/>
  <c r="I13" i="22"/>
  <c r="I12" i="22" s="1"/>
  <c r="H13" i="22"/>
  <c r="G14" i="16"/>
  <c r="I14" i="16"/>
  <c r="J14" i="16"/>
  <c r="D14" i="16"/>
  <c r="L14" i="16"/>
  <c r="R14" i="16"/>
  <c r="S14" i="16"/>
  <c r="T14" i="16"/>
  <c r="V14" i="16"/>
  <c r="V13" i="16" s="1"/>
  <c r="X14" i="16"/>
  <c r="Y14" i="16"/>
  <c r="Z14" i="16"/>
  <c r="AA14" i="16"/>
  <c r="AD90" i="16"/>
  <c r="AE90" i="16"/>
  <c r="AC90" i="16"/>
  <c r="AB90" i="16"/>
  <c r="AA116" i="16"/>
  <c r="U116" i="16"/>
  <c r="P116" i="16"/>
  <c r="K116" i="16"/>
  <c r="C116" i="16" s="1"/>
  <c r="X115" i="16"/>
  <c r="U115" i="16"/>
  <c r="P115" i="16"/>
  <c r="K115" i="16"/>
  <c r="C115" i="16" s="1"/>
  <c r="U114" i="16"/>
  <c r="P114" i="16"/>
  <c r="K114" i="16"/>
  <c r="C114" i="16" s="1"/>
  <c r="P113" i="16"/>
  <c r="N113" i="16" s="1"/>
  <c r="C113" i="16"/>
  <c r="X112" i="16"/>
  <c r="U112" i="16"/>
  <c r="P112" i="16"/>
  <c r="K112" i="16"/>
  <c r="C112" i="16" s="1"/>
  <c r="X111" i="16"/>
  <c r="U111" i="16"/>
  <c r="P111" i="16"/>
  <c r="K111" i="16"/>
  <c r="C111" i="16" s="1"/>
  <c r="X110" i="16"/>
  <c r="U110" i="16"/>
  <c r="P110" i="16"/>
  <c r="K110" i="16"/>
  <c r="C110" i="16" s="1"/>
  <c r="X109" i="16"/>
  <c r="U109" i="16"/>
  <c r="P109" i="16"/>
  <c r="K109" i="16"/>
  <c r="C109" i="16" s="1"/>
  <c r="X108" i="16"/>
  <c r="U108" i="16"/>
  <c r="S108" i="16"/>
  <c r="P108" i="16"/>
  <c r="K108" i="16"/>
  <c r="C108" i="16" s="1"/>
  <c r="P107" i="16"/>
  <c r="E107" i="16"/>
  <c r="P106" i="16"/>
  <c r="E106" i="16"/>
  <c r="P105" i="16"/>
  <c r="E105" i="16"/>
  <c r="C105" i="16" s="1"/>
  <c r="AB104" i="16"/>
  <c r="AA104" i="16"/>
  <c r="Z104" i="16"/>
  <c r="Y104" i="16"/>
  <c r="X104" i="16"/>
  <c r="W104" i="16"/>
  <c r="V104" i="16"/>
  <c r="U104" i="16"/>
  <c r="T104" i="16"/>
  <c r="S104" i="16"/>
  <c r="R104" i="16"/>
  <c r="Q104" i="16"/>
  <c r="O104" i="16"/>
  <c r="N104" i="16"/>
  <c r="F104" i="16"/>
  <c r="P103" i="16"/>
  <c r="K103" i="16"/>
  <c r="C103" i="16" s="1"/>
  <c r="AC102" i="16"/>
  <c r="X102" i="16"/>
  <c r="U102" i="16"/>
  <c r="P102" i="16"/>
  <c r="K102" i="16"/>
  <c r="C102" i="16" s="1"/>
  <c r="X101" i="16"/>
  <c r="U101" i="16"/>
  <c r="P101" i="16"/>
  <c r="K101" i="16"/>
  <c r="C101" i="16"/>
  <c r="AC100" i="16"/>
  <c r="X100" i="16"/>
  <c r="U100" i="16"/>
  <c r="P100" i="16"/>
  <c r="K100" i="16"/>
  <c r="AC99" i="16"/>
  <c r="X99" i="16"/>
  <c r="U99" i="16"/>
  <c r="P99" i="16"/>
  <c r="K99" i="16"/>
  <c r="C99" i="16" s="1"/>
  <c r="X98" i="16"/>
  <c r="U98" i="16"/>
  <c r="P98" i="16"/>
  <c r="K98" i="16"/>
  <c r="C98" i="16" s="1"/>
  <c r="AC97" i="16"/>
  <c r="X97" i="16"/>
  <c r="U97" i="16"/>
  <c r="P97" i="16"/>
  <c r="K97" i="16"/>
  <c r="C97" i="16" s="1"/>
  <c r="AC96" i="16"/>
  <c r="X96" i="16"/>
  <c r="U96" i="16"/>
  <c r="P96" i="16"/>
  <c r="K96" i="16"/>
  <c r="C96" i="16" s="1"/>
  <c r="AC95" i="16"/>
  <c r="X95" i="16"/>
  <c r="U95" i="16"/>
  <c r="P95" i="16"/>
  <c r="N95" i="16" s="1"/>
  <c r="K95" i="16"/>
  <c r="C95" i="16" s="1"/>
  <c r="X94" i="16"/>
  <c r="U94" i="16"/>
  <c r="P94" i="16"/>
  <c r="K94" i="16"/>
  <c r="C94" i="16" s="1"/>
  <c r="X93" i="16"/>
  <c r="U93" i="16"/>
  <c r="P93" i="16"/>
  <c r="O93" i="16"/>
  <c r="AC93" i="16" s="1"/>
  <c r="K93" i="16"/>
  <c r="Z92" i="16"/>
  <c r="Y92" i="16"/>
  <c r="V92" i="16"/>
  <c r="T92" i="16"/>
  <c r="S92" i="16"/>
  <c r="R92" i="16"/>
  <c r="Q92" i="16"/>
  <c r="M92" i="16"/>
  <c r="L92" i="16"/>
  <c r="J92" i="16"/>
  <c r="J13" i="16" s="1"/>
  <c r="J12" i="16" s="1"/>
  <c r="I92" i="16"/>
  <c r="E92" i="16"/>
  <c r="D92" i="16"/>
  <c r="U91" i="16"/>
  <c r="P91" i="16"/>
  <c r="E91" i="16"/>
  <c r="C91" i="16" s="1"/>
  <c r="U89" i="16"/>
  <c r="P89" i="16"/>
  <c r="E89" i="16"/>
  <c r="C89" i="16" s="1"/>
  <c r="U88" i="16"/>
  <c r="P88" i="16"/>
  <c r="K88" i="16"/>
  <c r="E88" i="16"/>
  <c r="U87" i="16"/>
  <c r="P87" i="16"/>
  <c r="K87" i="16"/>
  <c r="E87" i="16"/>
  <c r="U86" i="16"/>
  <c r="P86" i="16"/>
  <c r="K86" i="16"/>
  <c r="E86" i="16"/>
  <c r="U85" i="16"/>
  <c r="P85" i="16"/>
  <c r="K85" i="16"/>
  <c r="E85" i="16"/>
  <c r="U84" i="16"/>
  <c r="P84" i="16"/>
  <c r="K84" i="16"/>
  <c r="E84" i="16"/>
  <c r="U83" i="16"/>
  <c r="P83" i="16"/>
  <c r="K83" i="16"/>
  <c r="E83" i="16"/>
  <c r="U82" i="16"/>
  <c r="P82" i="16"/>
  <c r="K82" i="16"/>
  <c r="E82" i="16"/>
  <c r="U81" i="16"/>
  <c r="P81" i="16"/>
  <c r="K81" i="16"/>
  <c r="E81" i="16"/>
  <c r="U80" i="16"/>
  <c r="P80" i="16"/>
  <c r="K80" i="16"/>
  <c r="E80" i="16"/>
  <c r="U79" i="16"/>
  <c r="P79" i="16"/>
  <c r="K79" i="16"/>
  <c r="E79" i="16"/>
  <c r="U78" i="16"/>
  <c r="P78" i="16"/>
  <c r="K78" i="16"/>
  <c r="E78" i="16"/>
  <c r="U77" i="16"/>
  <c r="P77" i="16"/>
  <c r="K77" i="16"/>
  <c r="E77" i="16"/>
  <c r="U76" i="16"/>
  <c r="P76" i="16"/>
  <c r="K76" i="16"/>
  <c r="E76" i="16"/>
  <c r="U75" i="16"/>
  <c r="P75" i="16"/>
  <c r="K75" i="16"/>
  <c r="E75" i="16"/>
  <c r="U74" i="16"/>
  <c r="P74" i="16"/>
  <c r="K74" i="16"/>
  <c r="E74" i="16"/>
  <c r="U73" i="16"/>
  <c r="P73" i="16"/>
  <c r="K73" i="16"/>
  <c r="E73" i="16"/>
  <c r="U72" i="16"/>
  <c r="P72" i="16"/>
  <c r="K72" i="16"/>
  <c r="E72" i="16"/>
  <c r="U71" i="16"/>
  <c r="P71" i="16"/>
  <c r="K71" i="16"/>
  <c r="E71" i="16"/>
  <c r="U70" i="16"/>
  <c r="P70" i="16"/>
  <c r="K70" i="16"/>
  <c r="E70" i="16"/>
  <c r="U69" i="16"/>
  <c r="P69" i="16"/>
  <c r="N69" i="16" s="1"/>
  <c r="K69" i="16"/>
  <c r="E69" i="16"/>
  <c r="U68" i="16"/>
  <c r="P68" i="16"/>
  <c r="K68" i="16"/>
  <c r="E68" i="16"/>
  <c r="U67" i="16"/>
  <c r="P67" i="16"/>
  <c r="K67" i="16"/>
  <c r="E67" i="16"/>
  <c r="U66" i="16"/>
  <c r="P66" i="16"/>
  <c r="N66" i="16" s="1"/>
  <c r="K66" i="16"/>
  <c r="E66" i="16"/>
  <c r="U65" i="16"/>
  <c r="P65" i="16"/>
  <c r="K65" i="16"/>
  <c r="E65" i="16"/>
  <c r="U64" i="16"/>
  <c r="P64" i="16"/>
  <c r="K64" i="16"/>
  <c r="F64" i="16"/>
  <c r="E64" i="16" s="1"/>
  <c r="U63" i="16"/>
  <c r="P63" i="16"/>
  <c r="K63" i="16"/>
  <c r="E63" i="16"/>
  <c r="U62" i="16"/>
  <c r="P62" i="16"/>
  <c r="K62" i="16"/>
  <c r="E62" i="16"/>
  <c r="C62" i="16" s="1"/>
  <c r="U61" i="16"/>
  <c r="P61" i="16"/>
  <c r="K61" i="16"/>
  <c r="E61" i="16"/>
  <c r="U60" i="16"/>
  <c r="P60" i="16"/>
  <c r="N60" i="16" s="1"/>
  <c r="K60" i="16"/>
  <c r="E60" i="16"/>
  <c r="U59" i="16"/>
  <c r="P59" i="16"/>
  <c r="K59" i="16"/>
  <c r="E59" i="16"/>
  <c r="U58" i="16"/>
  <c r="P58" i="16"/>
  <c r="K58" i="16"/>
  <c r="E58" i="16"/>
  <c r="U57" i="16"/>
  <c r="P57" i="16"/>
  <c r="K57" i="16"/>
  <c r="E57" i="16"/>
  <c r="U56" i="16"/>
  <c r="P56" i="16"/>
  <c r="K56" i="16"/>
  <c r="E56" i="16"/>
  <c r="U55" i="16"/>
  <c r="P55" i="16"/>
  <c r="K55" i="16"/>
  <c r="E55" i="16"/>
  <c r="U54" i="16"/>
  <c r="P54" i="16"/>
  <c r="K54" i="16"/>
  <c r="E54" i="16"/>
  <c r="U53" i="16"/>
  <c r="P53" i="16"/>
  <c r="K53" i="16"/>
  <c r="E53" i="16"/>
  <c r="U52" i="16"/>
  <c r="P52" i="16"/>
  <c r="K52" i="16"/>
  <c r="E52" i="16"/>
  <c r="U51" i="16"/>
  <c r="P51" i="16"/>
  <c r="K51" i="16"/>
  <c r="E51" i="16"/>
  <c r="U50" i="16"/>
  <c r="P50" i="16"/>
  <c r="K50" i="16"/>
  <c r="E50" i="16"/>
  <c r="U49" i="16"/>
  <c r="P49" i="16"/>
  <c r="K49" i="16"/>
  <c r="E49" i="16"/>
  <c r="U48" i="16"/>
  <c r="P48" i="16"/>
  <c r="O48" i="16"/>
  <c r="K48" i="16"/>
  <c r="E48" i="16"/>
  <c r="U47" i="16"/>
  <c r="Q47" i="16"/>
  <c r="P47" i="16" s="1"/>
  <c r="K47" i="16"/>
  <c r="E47" i="16"/>
  <c r="U46" i="16"/>
  <c r="Q46" i="16"/>
  <c r="P46" i="16" s="1"/>
  <c r="K46" i="16"/>
  <c r="E46" i="16"/>
  <c r="U45" i="16"/>
  <c r="Q45" i="16"/>
  <c r="P45" i="16" s="1"/>
  <c r="K45" i="16"/>
  <c r="E45" i="16"/>
  <c r="U44" i="16"/>
  <c r="P44" i="16"/>
  <c r="K44" i="16"/>
  <c r="E44" i="16"/>
  <c r="C44" i="16" s="1"/>
  <c r="U43" i="16"/>
  <c r="Q43" i="16"/>
  <c r="P43" i="16" s="1"/>
  <c r="O43" i="16"/>
  <c r="AC43" i="16" s="1"/>
  <c r="K43" i="16"/>
  <c r="E43" i="16"/>
  <c r="U42" i="16"/>
  <c r="Q42" i="16"/>
  <c r="P42" i="16"/>
  <c r="K42" i="16"/>
  <c r="E42" i="16"/>
  <c r="U41" i="16"/>
  <c r="Q41" i="16"/>
  <c r="P41" i="16" s="1"/>
  <c r="O41" i="16"/>
  <c r="K41" i="16"/>
  <c r="E41" i="16"/>
  <c r="U40" i="16"/>
  <c r="P40" i="16"/>
  <c r="K40" i="16"/>
  <c r="E40" i="16"/>
  <c r="U39" i="16"/>
  <c r="P39" i="16"/>
  <c r="K39" i="16"/>
  <c r="E39" i="16"/>
  <c r="U38" i="16"/>
  <c r="Q38" i="16"/>
  <c r="P38" i="16" s="1"/>
  <c r="K38" i="16"/>
  <c r="E38" i="16"/>
  <c r="U37" i="16"/>
  <c r="Q37" i="16"/>
  <c r="P37" i="16" s="1"/>
  <c r="K37" i="16"/>
  <c r="E37" i="16"/>
  <c r="AC36" i="16"/>
  <c r="P36" i="16"/>
  <c r="K36" i="16"/>
  <c r="E36" i="16"/>
  <c r="U35" i="16"/>
  <c r="P35" i="16"/>
  <c r="K35" i="16"/>
  <c r="E35" i="16"/>
  <c r="W34" i="16"/>
  <c r="Q34" i="16"/>
  <c r="P34" i="16" s="1"/>
  <c r="K34" i="16"/>
  <c r="E34" i="16"/>
  <c r="U33" i="16"/>
  <c r="P33" i="16"/>
  <c r="K33" i="16"/>
  <c r="E33" i="16"/>
  <c r="U32" i="16"/>
  <c r="Q32" i="16"/>
  <c r="P32" i="16" s="1"/>
  <c r="K32" i="16"/>
  <c r="E32" i="16"/>
  <c r="U31" i="16"/>
  <c r="Q31" i="16"/>
  <c r="P31" i="16" s="1"/>
  <c r="O31" i="16"/>
  <c r="AC31" i="16" s="1"/>
  <c r="K31" i="16"/>
  <c r="E31" i="16"/>
  <c r="C31" i="16" s="1"/>
  <c r="U30" i="16"/>
  <c r="Q30" i="16"/>
  <c r="P30" i="16" s="1"/>
  <c r="K30" i="16"/>
  <c r="E30" i="16"/>
  <c r="W29" i="16"/>
  <c r="U29" i="16" s="1"/>
  <c r="Q29" i="16"/>
  <c r="P29" i="16" s="1"/>
  <c r="K29" i="16"/>
  <c r="E29" i="16"/>
  <c r="U28" i="16"/>
  <c r="Q28" i="16"/>
  <c r="P28" i="16" s="1"/>
  <c r="K28" i="16"/>
  <c r="E28" i="16"/>
  <c r="AC27" i="16"/>
  <c r="U27" i="16"/>
  <c r="P27" i="16"/>
  <c r="K27" i="16"/>
  <c r="E27" i="16"/>
  <c r="U26" i="16"/>
  <c r="Q26" i="16"/>
  <c r="P26" i="16" s="1"/>
  <c r="K26" i="16"/>
  <c r="E26" i="16"/>
  <c r="AC25" i="16"/>
  <c r="W25" i="16"/>
  <c r="U25" i="16" s="1"/>
  <c r="Q25" i="16"/>
  <c r="P25" i="16" s="1"/>
  <c r="K25" i="16"/>
  <c r="E25" i="16"/>
  <c r="U24" i="16"/>
  <c r="Q24" i="16"/>
  <c r="P24" i="16" s="1"/>
  <c r="K24" i="16"/>
  <c r="E24" i="16"/>
  <c r="AC23" i="16"/>
  <c r="U23" i="16"/>
  <c r="Q23" i="16"/>
  <c r="P23" i="16" s="1"/>
  <c r="K23" i="16"/>
  <c r="E23" i="16"/>
  <c r="AC22" i="16"/>
  <c r="U22" i="16"/>
  <c r="Q22" i="16"/>
  <c r="P22" i="16" s="1"/>
  <c r="K22" i="16"/>
  <c r="E22" i="16"/>
  <c r="W21" i="16"/>
  <c r="U21" i="16" s="1"/>
  <c r="Q21" i="16"/>
  <c r="P21" i="16" s="1"/>
  <c r="K21" i="16"/>
  <c r="E21" i="16"/>
  <c r="U20" i="16"/>
  <c r="Q20" i="16"/>
  <c r="P20" i="16" s="1"/>
  <c r="K20" i="16"/>
  <c r="E20" i="16"/>
  <c r="U19" i="16"/>
  <c r="P19" i="16"/>
  <c r="K19" i="16"/>
  <c r="E19" i="16"/>
  <c r="C19" i="16" s="1"/>
  <c r="U18" i="16"/>
  <c r="P18" i="16"/>
  <c r="K18" i="16"/>
  <c r="E18" i="16"/>
  <c r="U17" i="16"/>
  <c r="Q17" i="16"/>
  <c r="P17" i="16" s="1"/>
  <c r="K17" i="16"/>
  <c r="H17" i="16"/>
  <c r="H14" i="16" s="1"/>
  <c r="U16" i="16"/>
  <c r="P16" i="16"/>
  <c r="K16" i="16"/>
  <c r="E16" i="16"/>
  <c r="AC15" i="16"/>
  <c r="U15" i="16"/>
  <c r="P15" i="16"/>
  <c r="M15" i="16"/>
  <c r="K15" i="16" s="1"/>
  <c r="E15" i="16"/>
  <c r="AA13" i="16"/>
  <c r="S13" i="16"/>
  <c r="G13" i="16"/>
  <c r="G12" i="16" s="1"/>
  <c r="G66" i="3"/>
  <c r="F66" i="3"/>
  <c r="C66" i="3"/>
  <c r="G65" i="3"/>
  <c r="F65" i="3"/>
  <c r="C65" i="3"/>
  <c r="F64" i="3"/>
  <c r="F63" i="3"/>
  <c r="F62" i="3"/>
  <c r="F61" i="3"/>
  <c r="C61" i="3"/>
  <c r="F60" i="3"/>
  <c r="C60" i="3"/>
  <c r="F59" i="3"/>
  <c r="C59" i="3"/>
  <c r="F58" i="3"/>
  <c r="C58" i="3"/>
  <c r="F57" i="3"/>
  <c r="C57" i="3"/>
  <c r="H56" i="3"/>
  <c r="G56" i="3"/>
  <c r="E56" i="3"/>
  <c r="D56" i="3"/>
  <c r="C56" i="3" s="1"/>
  <c r="F55" i="3"/>
  <c r="F54" i="3" s="1"/>
  <c r="C55" i="3"/>
  <c r="H54" i="3"/>
  <c r="G54" i="3"/>
  <c r="D54" i="3"/>
  <c r="D53" i="3" s="1"/>
  <c r="C54" i="3"/>
  <c r="E54" i="3" s="1"/>
  <c r="E53" i="3" s="1"/>
  <c r="C53" i="3"/>
  <c r="F52" i="3"/>
  <c r="C52" i="3"/>
  <c r="F51" i="3"/>
  <c r="C51" i="3"/>
  <c r="F50" i="3"/>
  <c r="C50" i="3"/>
  <c r="F49" i="3"/>
  <c r="C49" i="3"/>
  <c r="F48" i="3"/>
  <c r="C48" i="3"/>
  <c r="G47" i="3"/>
  <c r="F47" i="3" s="1"/>
  <c r="C47" i="3"/>
  <c r="F46" i="3"/>
  <c r="C46" i="3"/>
  <c r="F45" i="3"/>
  <c r="C45" i="3"/>
  <c r="G44" i="3"/>
  <c r="F44" i="3" s="1"/>
  <c r="C44" i="3"/>
  <c r="H43" i="3"/>
  <c r="G43" i="3"/>
  <c r="G42" i="3" s="1"/>
  <c r="E43" i="3"/>
  <c r="E42" i="3" s="1"/>
  <c r="D43" i="3"/>
  <c r="C43" i="3" s="1"/>
  <c r="H42" i="3"/>
  <c r="F41" i="3"/>
  <c r="C41" i="3"/>
  <c r="F40" i="3"/>
  <c r="C40" i="3"/>
  <c r="H39" i="3"/>
  <c r="G39" i="3"/>
  <c r="E39" i="3"/>
  <c r="E38" i="3" s="1"/>
  <c r="D39" i="3"/>
  <c r="H38" i="3"/>
  <c r="F38" i="3"/>
  <c r="F37" i="3"/>
  <c r="H36" i="3"/>
  <c r="G36" i="3"/>
  <c r="C36" i="3"/>
  <c r="H35" i="3"/>
  <c r="G35" i="3"/>
  <c r="C35" i="3"/>
  <c r="H34" i="3"/>
  <c r="G34" i="3"/>
  <c r="G33" i="3" s="1"/>
  <c r="C34" i="3"/>
  <c r="H33" i="3"/>
  <c r="E33" i="3"/>
  <c r="D33" i="3"/>
  <c r="C33" i="3"/>
  <c r="F31" i="3"/>
  <c r="H31" i="3" s="1"/>
  <c r="C31" i="3"/>
  <c r="G30" i="3"/>
  <c r="F30" i="3"/>
  <c r="E30" i="3"/>
  <c r="G29" i="3"/>
  <c r="F29" i="3"/>
  <c r="E29" i="3"/>
  <c r="G28" i="3"/>
  <c r="F28" i="3"/>
  <c r="C28" i="3"/>
  <c r="C27" i="3"/>
  <c r="G26" i="3"/>
  <c r="F26" i="3"/>
  <c r="C26" i="3"/>
  <c r="G25" i="3"/>
  <c r="F25" i="3"/>
  <c r="C25" i="3"/>
  <c r="G24" i="3"/>
  <c r="F24" i="3"/>
  <c r="C24" i="3"/>
  <c r="H23" i="3"/>
  <c r="F23" i="3"/>
  <c r="G23" i="3" s="1"/>
  <c r="C23" i="3"/>
  <c r="F21" i="3"/>
  <c r="C21" i="3"/>
  <c r="F20" i="3"/>
  <c r="E20" i="3"/>
  <c r="F19" i="3"/>
  <c r="E19" i="3"/>
  <c r="E11" i="3" s="1"/>
  <c r="F18" i="3"/>
  <c r="H18" i="3" s="1"/>
  <c r="C18" i="3"/>
  <c r="F17" i="3"/>
  <c r="H17" i="3" s="1"/>
  <c r="C17" i="3"/>
  <c r="C16" i="3"/>
  <c r="F15" i="3"/>
  <c r="C15" i="3"/>
  <c r="F14" i="3"/>
  <c r="C14" i="3"/>
  <c r="C13" i="3"/>
  <c r="F12" i="3"/>
  <c r="C12" i="3"/>
  <c r="F11" i="3"/>
  <c r="D11" i="3"/>
  <c r="D10" i="3"/>
  <c r="F8" i="3"/>
  <c r="D28" i="4"/>
  <c r="D12" i="4"/>
  <c r="D11" i="4" s="1"/>
  <c r="E48" i="4"/>
  <c r="E47" i="4"/>
  <c r="E46" i="4"/>
  <c r="E45" i="4"/>
  <c r="E44" i="4"/>
  <c r="C28" i="4"/>
  <c r="C12" i="4"/>
  <c r="C11" i="4" s="1"/>
  <c r="P14" i="16" l="1"/>
  <c r="N50" i="16"/>
  <c r="N56" i="16"/>
  <c r="AB56" i="16" s="1"/>
  <c r="C58" i="16"/>
  <c r="C64" i="16"/>
  <c r="N71" i="16"/>
  <c r="C76" i="16"/>
  <c r="N80" i="16"/>
  <c r="N98" i="16"/>
  <c r="AB98" i="16" s="1"/>
  <c r="AO14" i="22"/>
  <c r="F24" i="22"/>
  <c r="AE73" i="16"/>
  <c r="AD40" i="22"/>
  <c r="H28" i="3"/>
  <c r="H30" i="3"/>
  <c r="F35" i="3"/>
  <c r="N49" i="16"/>
  <c r="N58" i="16"/>
  <c r="N61" i="16"/>
  <c r="N70" i="16"/>
  <c r="C72" i="16"/>
  <c r="N73" i="16"/>
  <c r="C78" i="16"/>
  <c r="D19" i="22"/>
  <c r="AC26" i="22"/>
  <c r="H24" i="3"/>
  <c r="H26" i="3"/>
  <c r="C39" i="3"/>
  <c r="F10" i="3"/>
  <c r="F9" i="3" s="1"/>
  <c r="H29" i="3"/>
  <c r="F36" i="3"/>
  <c r="C21" i="16"/>
  <c r="F30" i="22"/>
  <c r="F32" i="22"/>
  <c r="AR35" i="22"/>
  <c r="H25" i="3"/>
  <c r="F42" i="3"/>
  <c r="G53" i="3"/>
  <c r="G21" i="3" s="1"/>
  <c r="H21" i="3" s="1"/>
  <c r="H53" i="3"/>
  <c r="H37" i="3" s="1"/>
  <c r="F56" i="3"/>
  <c r="F53" i="3" s="1"/>
  <c r="AE21" i="16"/>
  <c r="K14" i="16"/>
  <c r="AE97" i="16"/>
  <c r="T13" i="16"/>
  <c r="T12" i="16" s="1"/>
  <c r="G13" i="22"/>
  <c r="BF32" i="22"/>
  <c r="W12" i="22"/>
  <c r="T42" i="22"/>
  <c r="N14" i="22"/>
  <c r="M14" i="22" s="1"/>
  <c r="T25" i="22"/>
  <c r="D28" i="22"/>
  <c r="BM27" i="22"/>
  <c r="T40" i="22"/>
  <c r="AR17" i="22"/>
  <c r="D22" i="22"/>
  <c r="AB37" i="22"/>
  <c r="AH41" i="22"/>
  <c r="AX12" i="22"/>
  <c r="M31" i="22"/>
  <c r="E33" i="22"/>
  <c r="AK33" i="22"/>
  <c r="T34" i="22"/>
  <c r="BJ42" i="22"/>
  <c r="AW12" i="22"/>
  <c r="AU12" i="22"/>
  <c r="AB38" i="22"/>
  <c r="AD49" i="22"/>
  <c r="AC29" i="22"/>
  <c r="F45" i="22"/>
  <c r="AR51" i="22"/>
  <c r="AR18" i="22"/>
  <c r="AD24" i="22"/>
  <c r="P12" i="22"/>
  <c r="M15" i="22"/>
  <c r="M28" i="22"/>
  <c r="E40" i="22"/>
  <c r="AR27" i="22"/>
  <c r="AD16" i="22"/>
  <c r="E17" i="22"/>
  <c r="AD18" i="22"/>
  <c r="AC24" i="22"/>
  <c r="AB16" i="22"/>
  <c r="AK18" i="22"/>
  <c r="F21" i="22"/>
  <c r="M26" i="22"/>
  <c r="BM29" i="22"/>
  <c r="AB22" i="22"/>
  <c r="E25" i="22"/>
  <c r="BF29" i="22"/>
  <c r="AC20" i="22"/>
  <c r="AR15" i="22"/>
  <c r="T16" i="22"/>
  <c r="AD19" i="22"/>
  <c r="M20" i="22"/>
  <c r="AR25" i="22"/>
  <c r="AD30" i="22"/>
  <c r="F35" i="22"/>
  <c r="AK35" i="22"/>
  <c r="BF49" i="22"/>
  <c r="R13" i="22"/>
  <c r="T15" i="22"/>
  <c r="AR14" i="22"/>
  <c r="AB18" i="22"/>
  <c r="M24" i="22"/>
  <c r="AD25" i="22"/>
  <c r="AK29" i="22"/>
  <c r="M37" i="22"/>
  <c r="AD45" i="22"/>
  <c r="H12" i="22"/>
  <c r="AF12" i="22"/>
  <c r="AC17" i="22"/>
  <c r="BA17" i="22" s="1"/>
  <c r="AD20" i="22"/>
  <c r="BB20" i="22" s="1"/>
  <c r="M29" i="22"/>
  <c r="AR30" i="22"/>
  <c r="AR32" i="22"/>
  <c r="T33" i="22"/>
  <c r="AK36" i="22"/>
  <c r="AR42" i="22"/>
  <c r="M48" i="22"/>
  <c r="AR48" i="22"/>
  <c r="AC49" i="22"/>
  <c r="F15" i="22"/>
  <c r="M16" i="22"/>
  <c r="AK20" i="22"/>
  <c r="M21" i="22"/>
  <c r="E24" i="22"/>
  <c r="AD27" i="22"/>
  <c r="AK28" i="22"/>
  <c r="T29" i="22"/>
  <c r="F31" i="22"/>
  <c r="AK31" i="22"/>
  <c r="T32" i="22"/>
  <c r="M34" i="22"/>
  <c r="AR34" i="22"/>
  <c r="AD37" i="22"/>
  <c r="BF45" i="22"/>
  <c r="E46" i="22"/>
  <c r="AR46" i="22"/>
  <c r="E16" i="22"/>
  <c r="E38" i="22"/>
  <c r="BF14" i="22"/>
  <c r="AC15" i="22"/>
  <c r="AR16" i="22"/>
  <c r="BF20" i="22"/>
  <c r="AS41" i="22"/>
  <c r="BF50" i="22"/>
  <c r="Z12" i="22"/>
  <c r="AK14" i="22"/>
  <c r="AK15" i="22"/>
  <c r="AK16" i="22"/>
  <c r="AK19" i="22"/>
  <c r="AK21" i="22"/>
  <c r="T30" i="22"/>
  <c r="AC30" i="22"/>
  <c r="J41" i="22"/>
  <c r="AK42" i="22"/>
  <c r="BJ47" i="22"/>
  <c r="AK49" i="22"/>
  <c r="AK50" i="22"/>
  <c r="F51" i="22"/>
  <c r="BF51" i="22"/>
  <c r="D25" i="22"/>
  <c r="AC25" i="22"/>
  <c r="D26" i="22"/>
  <c r="AK26" i="22"/>
  <c r="M27" i="22"/>
  <c r="T28" i="22"/>
  <c r="E31" i="22"/>
  <c r="E32" i="22"/>
  <c r="BJ32" i="22"/>
  <c r="E35" i="22"/>
  <c r="AD36" i="22"/>
  <c r="D45" i="22"/>
  <c r="AD17" i="22"/>
  <c r="T19" i="22"/>
  <c r="AR19" i="22"/>
  <c r="E21" i="22"/>
  <c r="AC22" i="22"/>
  <c r="AR31" i="22"/>
  <c r="AD32" i="22"/>
  <c r="BB32" i="22" s="1"/>
  <c r="E34" i="22"/>
  <c r="F36" i="22"/>
  <c r="BD41" i="22"/>
  <c r="AC50" i="22"/>
  <c r="D33" i="22"/>
  <c r="C33" i="22" s="1"/>
  <c r="AC33" i="22"/>
  <c r="BA33" i="22" s="1"/>
  <c r="BG13" i="22"/>
  <c r="E20" i="22"/>
  <c r="M25" i="22"/>
  <c r="AD28" i="22"/>
  <c r="AB35" i="22"/>
  <c r="AC38" i="22"/>
  <c r="BG41" i="22"/>
  <c r="BN43" i="22"/>
  <c r="BN48" i="22"/>
  <c r="F14" i="22"/>
  <c r="AD15" i="22"/>
  <c r="E18" i="22"/>
  <c r="AD21" i="22"/>
  <c r="AR22" i="22"/>
  <c r="AD23" i="22"/>
  <c r="AK24" i="22"/>
  <c r="AC27" i="22"/>
  <c r="M30" i="22"/>
  <c r="AR36" i="22"/>
  <c r="AK38" i="22"/>
  <c r="AC43" i="22"/>
  <c r="AC44" i="22"/>
  <c r="D48" i="22"/>
  <c r="AC48" i="22"/>
  <c r="F49" i="22"/>
  <c r="BF15" i="22"/>
  <c r="D16" i="22"/>
  <c r="AC21" i="22"/>
  <c r="D27" i="22"/>
  <c r="T36" i="22"/>
  <c r="D43" i="22"/>
  <c r="BJ45" i="22"/>
  <c r="AK46" i="22"/>
  <c r="AK47" i="22"/>
  <c r="BJ48" i="22"/>
  <c r="F50" i="22"/>
  <c r="M17" i="22"/>
  <c r="AV13" i="22"/>
  <c r="M23" i="22"/>
  <c r="T24" i="22"/>
  <c r="AB25" i="22"/>
  <c r="AD33" i="22"/>
  <c r="AK34" i="22"/>
  <c r="F44" i="22"/>
  <c r="AD44" i="22"/>
  <c r="M46" i="22"/>
  <c r="AD48" i="22"/>
  <c r="AR50" i="22"/>
  <c r="AK51" i="22"/>
  <c r="AL13" i="22"/>
  <c r="BM21" i="22"/>
  <c r="AC28" i="22"/>
  <c r="E30" i="22"/>
  <c r="AC32" i="22"/>
  <c r="V13" i="22"/>
  <c r="BK13" i="22"/>
  <c r="AD14" i="22"/>
  <c r="F18" i="22"/>
  <c r="AC18" i="22"/>
  <c r="E19" i="22"/>
  <c r="C19" i="22" s="1"/>
  <c r="AC19" i="22"/>
  <c r="D20" i="22"/>
  <c r="T21" i="22"/>
  <c r="AR21" i="22"/>
  <c r="T22" i="22"/>
  <c r="T23" i="22"/>
  <c r="AB24" i="22"/>
  <c r="BM26" i="22"/>
  <c r="AK27" i="22"/>
  <c r="E28" i="22"/>
  <c r="E29" i="22"/>
  <c r="D31" i="22"/>
  <c r="AB31" i="22"/>
  <c r="AC36" i="22"/>
  <c r="AA36" i="22" s="1"/>
  <c r="F38" i="22"/>
  <c r="M40" i="22"/>
  <c r="BM44" i="22"/>
  <c r="E47" i="22"/>
  <c r="AC51" i="22"/>
  <c r="E15" i="22"/>
  <c r="BA15" i="22" s="1"/>
  <c r="BM25" i="22"/>
  <c r="D30" i="22"/>
  <c r="AC31" i="22"/>
  <c r="AB32" i="22"/>
  <c r="D37" i="22"/>
  <c r="M38" i="22"/>
  <c r="R41" i="22"/>
  <c r="R12" i="22" s="1"/>
  <c r="BM43" i="22"/>
  <c r="T47" i="22"/>
  <c r="AR47" i="22"/>
  <c r="BM14" i="22"/>
  <c r="M19" i="22"/>
  <c r="BM19" i="22"/>
  <c r="AR26" i="22"/>
  <c r="D36" i="22"/>
  <c r="AB36" i="22"/>
  <c r="AC40" i="22"/>
  <c r="AB46" i="22"/>
  <c r="AI12" i="22"/>
  <c r="AT12" i="22"/>
  <c r="D15" i="22"/>
  <c r="F17" i="22"/>
  <c r="M18" i="22"/>
  <c r="D21" i="22"/>
  <c r="E27" i="22"/>
  <c r="C27" i="22" s="1"/>
  <c r="AR29" i="22"/>
  <c r="AB34" i="22"/>
  <c r="AC35" i="22"/>
  <c r="BA35" i="22" s="1"/>
  <c r="AR38" i="22"/>
  <c r="D42" i="22"/>
  <c r="AK45" i="22"/>
  <c r="BJ46" i="22"/>
  <c r="AG12" i="22"/>
  <c r="J13" i="22"/>
  <c r="AB15" i="22"/>
  <c r="F16" i="22"/>
  <c r="AK17" i="22"/>
  <c r="AR20" i="22"/>
  <c r="AB21" i="22"/>
  <c r="AD22" i="22"/>
  <c r="E23" i="22"/>
  <c r="BM23" i="22"/>
  <c r="E26" i="22"/>
  <c r="F27" i="22"/>
  <c r="AK30" i="22"/>
  <c r="M32" i="22"/>
  <c r="BI32" i="22" s="1"/>
  <c r="M36" i="22"/>
  <c r="AB42" i="22"/>
  <c r="AZ42" i="22" s="1"/>
  <c r="AD43" i="22"/>
  <c r="AB44" i="22"/>
  <c r="BF44" i="22"/>
  <c r="AB47" i="22"/>
  <c r="BF48" i="22"/>
  <c r="E14" i="22"/>
  <c r="X13" i="22"/>
  <c r="U13" i="22"/>
  <c r="T14" i="22"/>
  <c r="D14" i="22"/>
  <c r="AZ16" i="22"/>
  <c r="BI14" i="22"/>
  <c r="T18" i="22"/>
  <c r="T38" i="22"/>
  <c r="D38" i="22"/>
  <c r="T44" i="22"/>
  <c r="M47" i="22"/>
  <c r="BM47" i="22"/>
  <c r="BN49" i="22"/>
  <c r="Q49" i="22"/>
  <c r="BM49" i="22" s="1"/>
  <c r="T51" i="22"/>
  <c r="D51" i="22"/>
  <c r="BA25" i="22"/>
  <c r="AR28" i="22"/>
  <c r="AB28" i="22"/>
  <c r="BD13" i="22"/>
  <c r="AB14" i="22"/>
  <c r="BC15" i="22"/>
  <c r="T17" i="22"/>
  <c r="D18" i="22"/>
  <c r="F29" i="22"/>
  <c r="BB29" i="22" s="1"/>
  <c r="D29" i="22"/>
  <c r="T37" i="22"/>
  <c r="AR40" i="22"/>
  <c r="T49" i="22"/>
  <c r="AR49" i="22"/>
  <c r="AB49" i="22"/>
  <c r="X43" i="22"/>
  <c r="X41" i="22" s="1"/>
  <c r="Y41" i="22"/>
  <c r="Y13" i="22"/>
  <c r="AO13" i="22"/>
  <c r="AC14" i="22"/>
  <c r="AB20" i="22"/>
  <c r="F23" i="22"/>
  <c r="D23" i="22"/>
  <c r="T35" i="22"/>
  <c r="D35" i="22"/>
  <c r="C35" i="22" s="1"/>
  <c r="AC37" i="22"/>
  <c r="AA37" i="22" s="1"/>
  <c r="BJ43" i="22"/>
  <c r="AL41" i="22"/>
  <c r="AK43" i="22"/>
  <c r="E48" i="22"/>
  <c r="AM12" i="22"/>
  <c r="AH13" i="22"/>
  <c r="AP13" i="22"/>
  <c r="AK23" i="22"/>
  <c r="BI23" i="22" s="1"/>
  <c r="BI29" i="22"/>
  <c r="AC34" i="22"/>
  <c r="E36" i="22"/>
  <c r="M43" i="22"/>
  <c r="F46" i="22"/>
  <c r="G41" i="22"/>
  <c r="BF46" i="22"/>
  <c r="AC46" i="22"/>
  <c r="BA46" i="22" s="1"/>
  <c r="BC51" i="22"/>
  <c r="AD51" i="22"/>
  <c r="BB51" i="22" s="1"/>
  <c r="AB51" i="22"/>
  <c r="V41" i="22"/>
  <c r="U46" i="22"/>
  <c r="T46" i="22" s="1"/>
  <c r="AE13" i="22"/>
  <c r="AC16" i="22"/>
  <c r="D17" i="22"/>
  <c r="AB17" i="22"/>
  <c r="F19" i="22"/>
  <c r="AR24" i="22"/>
  <c r="T27" i="22"/>
  <c r="AR33" i="22"/>
  <c r="AB33" i="22"/>
  <c r="E44" i="22"/>
  <c r="BA44" i="22" s="1"/>
  <c r="T45" i="22"/>
  <c r="AO41" i="22"/>
  <c r="BM48" i="22"/>
  <c r="D49" i="22"/>
  <c r="T50" i="22"/>
  <c r="D50" i="22"/>
  <c r="BC50" i="22"/>
  <c r="AD50" i="22"/>
  <c r="AB50" i="22"/>
  <c r="BK44" i="22"/>
  <c r="N44" i="22"/>
  <c r="BJ44" i="22" s="1"/>
  <c r="O41" i="22"/>
  <c r="O12" i="22" s="1"/>
  <c r="AS13" i="22"/>
  <c r="AB19" i="22"/>
  <c r="T20" i="22"/>
  <c r="AC23" i="22"/>
  <c r="AD26" i="22"/>
  <c r="AB26" i="22"/>
  <c r="AA26" i="22" s="1"/>
  <c r="F34" i="22"/>
  <c r="D34" i="22"/>
  <c r="E37" i="22"/>
  <c r="C37" i="22" s="1"/>
  <c r="D40" i="22"/>
  <c r="C40" i="22" s="1"/>
  <c r="BF42" i="22"/>
  <c r="AC42" i="22"/>
  <c r="AC45" i="22"/>
  <c r="AV41" i="22"/>
  <c r="BM46" i="22"/>
  <c r="F47" i="22"/>
  <c r="D47" i="22"/>
  <c r="BF47" i="22"/>
  <c r="AC47" i="22"/>
  <c r="T48" i="22"/>
  <c r="E49" i="22"/>
  <c r="BA49" i="22" s="1"/>
  <c r="BC20" i="22"/>
  <c r="AK25" i="22"/>
  <c r="BI25" i="22" s="1"/>
  <c r="F28" i="22"/>
  <c r="F33" i="22"/>
  <c r="AD35" i="22"/>
  <c r="AD38" i="22"/>
  <c r="AE41" i="22"/>
  <c r="F43" i="22"/>
  <c r="AK44" i="22"/>
  <c r="F48" i="22"/>
  <c r="Q50" i="22"/>
  <c r="BM50" i="22" s="1"/>
  <c r="Q51" i="22"/>
  <c r="E51" i="22" s="1"/>
  <c r="Q22" i="22"/>
  <c r="M22" i="22" s="1"/>
  <c r="F25" i="22"/>
  <c r="AD31" i="22"/>
  <c r="F37" i="22"/>
  <c r="AK37" i="22"/>
  <c r="AB40" i="22"/>
  <c r="Q42" i="22"/>
  <c r="AD42" i="22"/>
  <c r="Q45" i="22"/>
  <c r="M45" i="22" s="1"/>
  <c r="AB45" i="22"/>
  <c r="AR45" i="22"/>
  <c r="AD46" i="22"/>
  <c r="AD47" i="22"/>
  <c r="AK48" i="22"/>
  <c r="AK22" i="22"/>
  <c r="AB23" i="22"/>
  <c r="AR23" i="22"/>
  <c r="T26" i="22"/>
  <c r="AR37" i="22"/>
  <c r="BF43" i="22"/>
  <c r="BN47" i="22"/>
  <c r="AB48" i="22"/>
  <c r="BJ49" i="22"/>
  <c r="BJ50" i="22"/>
  <c r="BJ51" i="22"/>
  <c r="D24" i="22"/>
  <c r="AB27" i="22"/>
  <c r="AA27" i="22" s="1"/>
  <c r="AB29" i="22"/>
  <c r="AB30" i="22"/>
  <c r="D32" i="22"/>
  <c r="AB43" i="22"/>
  <c r="BC46" i="22"/>
  <c r="BN46" i="22"/>
  <c r="AD25" i="16"/>
  <c r="C27" i="16"/>
  <c r="AD83" i="16"/>
  <c r="N109" i="16"/>
  <c r="AB109" i="16" s="1"/>
  <c r="AE42" i="16"/>
  <c r="C80" i="16"/>
  <c r="Q14" i="16"/>
  <c r="Q13" i="16" s="1"/>
  <c r="Q12" i="16" s="1"/>
  <c r="W14" i="16"/>
  <c r="W13" i="16" s="1"/>
  <c r="W12" i="16" s="1"/>
  <c r="O14" i="16"/>
  <c r="F14" i="16"/>
  <c r="F13" i="16" s="1"/>
  <c r="F12" i="16" s="1"/>
  <c r="C42" i="16"/>
  <c r="C53" i="16"/>
  <c r="C55" i="16"/>
  <c r="C57" i="16"/>
  <c r="C61" i="16"/>
  <c r="C63" i="16"/>
  <c r="M14" i="16"/>
  <c r="H13" i="16"/>
  <c r="H12" i="16" s="1"/>
  <c r="AE17" i="16"/>
  <c r="C79" i="16"/>
  <c r="C84" i="16"/>
  <c r="C86" i="16"/>
  <c r="AD15" i="16"/>
  <c r="C20" i="16"/>
  <c r="N89" i="16"/>
  <c r="N102" i="16"/>
  <c r="AB102" i="16" s="1"/>
  <c r="AD27" i="16"/>
  <c r="C33" i="16"/>
  <c r="AB33" i="16" s="1"/>
  <c r="L13" i="16"/>
  <c r="L12" i="16" s="1"/>
  <c r="N33" i="16"/>
  <c r="AE33" i="16"/>
  <c r="AE46" i="16"/>
  <c r="C34" i="16"/>
  <c r="C65" i="16"/>
  <c r="C69" i="16"/>
  <c r="AB69" i="16" s="1"/>
  <c r="AD87" i="16"/>
  <c r="N19" i="16"/>
  <c r="AB19" i="16" s="1"/>
  <c r="AE26" i="16"/>
  <c r="C52" i="16"/>
  <c r="C54" i="16"/>
  <c r="C56" i="16"/>
  <c r="N65" i="16"/>
  <c r="AE69" i="16"/>
  <c r="AE96" i="16"/>
  <c r="AA12" i="16"/>
  <c r="AD16" i="16"/>
  <c r="AD62" i="16"/>
  <c r="AD82" i="16"/>
  <c r="AE95" i="16"/>
  <c r="N110" i="16"/>
  <c r="AB110" i="16" s="1"/>
  <c r="Z13" i="16"/>
  <c r="Z12" i="16" s="1"/>
  <c r="N101" i="16"/>
  <c r="AB101" i="16" s="1"/>
  <c r="AD36" i="16"/>
  <c r="AD43" i="16"/>
  <c r="N74" i="16"/>
  <c r="N78" i="16"/>
  <c r="P92" i="16"/>
  <c r="C24" i="16"/>
  <c r="C26" i="16"/>
  <c r="C29" i="16"/>
  <c r="AD40" i="16"/>
  <c r="C71" i="16"/>
  <c r="AB71" i="16" s="1"/>
  <c r="AB95" i="16"/>
  <c r="AD29" i="16"/>
  <c r="N39" i="16"/>
  <c r="N17" i="16"/>
  <c r="AE24" i="16"/>
  <c r="C41" i="16"/>
  <c r="C46" i="16"/>
  <c r="N85" i="16"/>
  <c r="N99" i="16"/>
  <c r="N25" i="16"/>
  <c r="AD64" i="16"/>
  <c r="D13" i="16"/>
  <c r="D12" i="16" s="1"/>
  <c r="AE23" i="16"/>
  <c r="C25" i="16"/>
  <c r="N48" i="16"/>
  <c r="N57" i="16"/>
  <c r="C59" i="16"/>
  <c r="N67" i="16"/>
  <c r="C81" i="16"/>
  <c r="C83" i="16"/>
  <c r="AD86" i="16"/>
  <c r="AD88" i="16"/>
  <c r="N96" i="16"/>
  <c r="AB96" i="16" s="1"/>
  <c r="AE98" i="16"/>
  <c r="AD105" i="16"/>
  <c r="C30" i="16"/>
  <c r="N40" i="16"/>
  <c r="AE45" i="16"/>
  <c r="C47" i="16"/>
  <c r="N52" i="16"/>
  <c r="AD57" i="16"/>
  <c r="C66" i="16"/>
  <c r="AB66" i="16" s="1"/>
  <c r="C70" i="16"/>
  <c r="N75" i="16"/>
  <c r="C85" i="16"/>
  <c r="N91" i="16"/>
  <c r="AD45" i="16"/>
  <c r="AD68" i="16"/>
  <c r="AE81" i="16"/>
  <c r="AD107" i="16"/>
  <c r="C39" i="16"/>
  <c r="C51" i="16"/>
  <c r="N54" i="16"/>
  <c r="C60" i="16"/>
  <c r="AB60" i="16" s="1"/>
  <c r="N68" i="16"/>
  <c r="N87" i="16"/>
  <c r="AE30" i="16"/>
  <c r="AD35" i="16"/>
  <c r="AD37" i="16"/>
  <c r="AD42" i="16"/>
  <c r="AE47" i="16"/>
  <c r="AD61" i="16"/>
  <c r="N72" i="16"/>
  <c r="AB72" i="16" s="1"/>
  <c r="AD76" i="16"/>
  <c r="C32" i="16"/>
  <c r="N51" i="16"/>
  <c r="I13" i="16"/>
  <c r="I12" i="16" s="1"/>
  <c r="N116" i="16"/>
  <c r="AD18" i="16"/>
  <c r="N44" i="16"/>
  <c r="AB44" i="16" s="1"/>
  <c r="N53" i="16"/>
  <c r="AB53" i="16" s="1"/>
  <c r="AD58" i="16"/>
  <c r="C77" i="16"/>
  <c r="AD84" i="16"/>
  <c r="N94" i="16"/>
  <c r="AB94" i="16" s="1"/>
  <c r="N108" i="16"/>
  <c r="AB108" i="16" s="1"/>
  <c r="N114" i="16"/>
  <c r="AD22" i="16"/>
  <c r="N22" i="16"/>
  <c r="AD28" i="16"/>
  <c r="N28" i="16"/>
  <c r="AB28" i="16" s="1"/>
  <c r="AD38" i="16"/>
  <c r="N38" i="16"/>
  <c r="AD32" i="16"/>
  <c r="N32" i="16"/>
  <c r="C18" i="16"/>
  <c r="C22" i="16"/>
  <c r="AB22" i="16" s="1"/>
  <c r="C28" i="16"/>
  <c r="C38" i="16"/>
  <c r="AD39" i="16"/>
  <c r="AE41" i="16"/>
  <c r="N45" i="16"/>
  <c r="C48" i="16"/>
  <c r="AB48" i="16" s="1"/>
  <c r="C67" i="16"/>
  <c r="AE71" i="16"/>
  <c r="C75" i="16"/>
  <c r="C82" i="16"/>
  <c r="N88" i="16"/>
  <c r="N100" i="16"/>
  <c r="N111" i="16"/>
  <c r="AB111" i="16" s="1"/>
  <c r="V12" i="16"/>
  <c r="AE25" i="16"/>
  <c r="AD33" i="16"/>
  <c r="C35" i="16"/>
  <c r="C37" i="16"/>
  <c r="C40" i="16"/>
  <c r="AD70" i="16"/>
  <c r="X92" i="16"/>
  <c r="X13" i="16" s="1"/>
  <c r="X12" i="16" s="1"/>
  <c r="E104" i="16"/>
  <c r="C104" i="16" s="1"/>
  <c r="N18" i="16"/>
  <c r="AD19" i="16"/>
  <c r="C43" i="16"/>
  <c r="C50" i="16"/>
  <c r="N55" i="16"/>
  <c r="AD56" i="16"/>
  <c r="N59" i="16"/>
  <c r="AD60" i="16"/>
  <c r="N63" i="16"/>
  <c r="N64" i="16"/>
  <c r="AB64" i="16" s="1"/>
  <c r="AD67" i="16"/>
  <c r="C74" i="16"/>
  <c r="N77" i="16"/>
  <c r="K92" i="16"/>
  <c r="K13" i="16" s="1"/>
  <c r="K12" i="16" s="1"/>
  <c r="Y13" i="16"/>
  <c r="Y12" i="16" s="1"/>
  <c r="P104" i="16"/>
  <c r="AB99" i="16"/>
  <c r="S12" i="16"/>
  <c r="N21" i="16"/>
  <c r="AB21" i="16" s="1"/>
  <c r="AD44" i="16"/>
  <c r="AE99" i="16"/>
  <c r="C16" i="16"/>
  <c r="AE22" i="16"/>
  <c r="N27" i="16"/>
  <c r="N31" i="16"/>
  <c r="AB31" i="16" s="1"/>
  <c r="AE32" i="16"/>
  <c r="AD55" i="16"/>
  <c r="AB58" i="16"/>
  <c r="AD59" i="16"/>
  <c r="N62" i="16"/>
  <c r="AB62" i="16" s="1"/>
  <c r="AD63" i="16"/>
  <c r="C68" i="16"/>
  <c r="N79" i="16"/>
  <c r="N84" i="16"/>
  <c r="AE93" i="16"/>
  <c r="AE94" i="16"/>
  <c r="N112" i="16"/>
  <c r="AB112" i="16" s="1"/>
  <c r="M13" i="16"/>
  <c r="M12" i="16" s="1"/>
  <c r="N16" i="16"/>
  <c r="C36" i="16"/>
  <c r="AE37" i="16"/>
  <c r="C45" i="16"/>
  <c r="C49" i="16"/>
  <c r="AB49" i="16" s="1"/>
  <c r="C73" i="16"/>
  <c r="AB73" i="16" s="1"/>
  <c r="AD74" i="16"/>
  <c r="AD81" i="16"/>
  <c r="N83" i="16"/>
  <c r="C88" i="16"/>
  <c r="N97" i="16"/>
  <c r="AB97" i="16" s="1"/>
  <c r="R13" i="16"/>
  <c r="R12" i="16" s="1"/>
  <c r="C23" i="16"/>
  <c r="N42" i="16"/>
  <c r="AB42" i="16" s="1"/>
  <c r="AB61" i="16"/>
  <c r="AE100" i="16"/>
  <c r="N115" i="16"/>
  <c r="C15" i="16"/>
  <c r="N24" i="16"/>
  <c r="AD24" i="16"/>
  <c r="AD34" i="16"/>
  <c r="N46" i="16"/>
  <c r="AD46" i="16"/>
  <c r="AE15" i="16"/>
  <c r="N23" i="16"/>
  <c r="AD23" i="16"/>
  <c r="AE29" i="16"/>
  <c r="N29" i="16"/>
  <c r="AD41" i="16"/>
  <c r="N41" i="16"/>
  <c r="N26" i="16"/>
  <c r="AB26" i="16" s="1"/>
  <c r="AD26" i="16"/>
  <c r="N30" i="16"/>
  <c r="AD30" i="16"/>
  <c r="N47" i="16"/>
  <c r="AD47" i="16"/>
  <c r="N20" i="16"/>
  <c r="AB20" i="16" s="1"/>
  <c r="AD20" i="16"/>
  <c r="N15" i="16"/>
  <c r="E17" i="16"/>
  <c r="E14" i="16" s="1"/>
  <c r="U34" i="16"/>
  <c r="AE34" i="16" s="1"/>
  <c r="N35" i="16"/>
  <c r="N36" i="16"/>
  <c r="N37" i="16"/>
  <c r="N43" i="16"/>
  <c r="AB43" i="16" s="1"/>
  <c r="N76" i="16"/>
  <c r="AB76" i="16" s="1"/>
  <c r="N81" i="16"/>
  <c r="N82" i="16"/>
  <c r="AD85" i="16"/>
  <c r="C87" i="16"/>
  <c r="O92" i="16"/>
  <c r="N93" i="16"/>
  <c r="C106" i="16"/>
  <c r="AD106" i="16"/>
  <c r="AD21" i="16"/>
  <c r="N86" i="16"/>
  <c r="C100" i="16"/>
  <c r="AE101" i="16"/>
  <c r="C107" i="16"/>
  <c r="AE27" i="16"/>
  <c r="AE102" i="16"/>
  <c r="AD31" i="16"/>
  <c r="U92" i="16"/>
  <c r="C93" i="16"/>
  <c r="E10" i="3"/>
  <c r="E9" i="3" s="1"/>
  <c r="C11" i="3"/>
  <c r="E37" i="3"/>
  <c r="E32" i="3" s="1"/>
  <c r="C10" i="3"/>
  <c r="G38" i="3"/>
  <c r="F34" i="3"/>
  <c r="F33" i="3" s="1"/>
  <c r="F32" i="3" s="1"/>
  <c r="D9" i="3"/>
  <c r="F39" i="3"/>
  <c r="D42" i="3"/>
  <c r="F43" i="3"/>
  <c r="C10" i="4"/>
  <c r="C8" i="4" s="1"/>
  <c r="D10" i="4"/>
  <c r="D8" i="4" s="1"/>
  <c r="AB70" i="16" l="1"/>
  <c r="AB57" i="16"/>
  <c r="AA29" i="22"/>
  <c r="C34" i="22"/>
  <c r="AA19" i="22"/>
  <c r="AB35" i="16"/>
  <c r="AB50" i="16"/>
  <c r="BI45" i="22"/>
  <c r="AS12" i="22"/>
  <c r="BA29" i="22"/>
  <c r="AA25" i="22"/>
  <c r="N13" i="22"/>
  <c r="AB37" i="16"/>
  <c r="AA23" i="22"/>
  <c r="C38" i="22"/>
  <c r="AB27" i="16"/>
  <c r="AB63" i="16"/>
  <c r="C47" i="22"/>
  <c r="C28" i="22"/>
  <c r="BF41" i="22"/>
  <c r="C42" i="3"/>
  <c r="D38" i="3"/>
  <c r="BB14" i="22"/>
  <c r="C20" i="22"/>
  <c r="BB45" i="22"/>
  <c r="AA18" i="22"/>
  <c r="BI26" i="22"/>
  <c r="BI48" i="22"/>
  <c r="AA40" i="22"/>
  <c r="AA22" i="22"/>
  <c r="AA17" i="22"/>
  <c r="C17" i="22"/>
  <c r="BD12" i="22"/>
  <c r="BI19" i="22"/>
  <c r="BI27" i="22"/>
  <c r="BA19" i="22"/>
  <c r="C30" i="22"/>
  <c r="BB44" i="22"/>
  <c r="BB48" i="22"/>
  <c r="BN41" i="22"/>
  <c r="BA32" i="22"/>
  <c r="AA38" i="22"/>
  <c r="AA33" i="22"/>
  <c r="J12" i="22"/>
  <c r="AA32" i="22"/>
  <c r="C25" i="22"/>
  <c r="AR41" i="22"/>
  <c r="C23" i="22"/>
  <c r="AY23" i="22" s="1"/>
  <c r="BB15" i="22"/>
  <c r="C36" i="22"/>
  <c r="AY36" i="22" s="1"/>
  <c r="C48" i="22"/>
  <c r="BA20" i="22"/>
  <c r="BB49" i="22"/>
  <c r="BG12" i="22"/>
  <c r="BA27" i="22"/>
  <c r="BA38" i="22"/>
  <c r="BA21" i="22"/>
  <c r="BI21" i="22"/>
  <c r="AA24" i="22"/>
  <c r="BJ13" i="22"/>
  <c r="C21" i="22"/>
  <c r="C32" i="22"/>
  <c r="AA35" i="22"/>
  <c r="AY35" i="22" s="1"/>
  <c r="AA30" i="22"/>
  <c r="AY30" i="22" s="1"/>
  <c r="BA23" i="22"/>
  <c r="AZ15" i="22"/>
  <c r="C31" i="22"/>
  <c r="BA30" i="22"/>
  <c r="AA44" i="22"/>
  <c r="AY44" i="22" s="1"/>
  <c r="BA24" i="22"/>
  <c r="M13" i="22"/>
  <c r="BB50" i="22"/>
  <c r="AA21" i="22"/>
  <c r="BA16" i="22"/>
  <c r="C18" i="22"/>
  <c r="AY18" i="22" s="1"/>
  <c r="C16" i="22"/>
  <c r="AA15" i="22"/>
  <c r="BA31" i="22"/>
  <c r="C24" i="22"/>
  <c r="T43" i="22"/>
  <c r="T41" i="22" s="1"/>
  <c r="C29" i="22"/>
  <c r="AY29" i="22" s="1"/>
  <c r="BA47" i="22"/>
  <c r="V12" i="22"/>
  <c r="BB43" i="22"/>
  <c r="AY19" i="22"/>
  <c r="BI47" i="22"/>
  <c r="AZ21" i="22"/>
  <c r="BC41" i="22"/>
  <c r="Y12" i="22"/>
  <c r="BI46" i="22"/>
  <c r="BM51" i="22"/>
  <c r="C26" i="22"/>
  <c r="BA28" i="22"/>
  <c r="M51" i="22"/>
  <c r="BI51" i="22" s="1"/>
  <c r="AV12" i="22"/>
  <c r="M49" i="22"/>
  <c r="BI49" i="22" s="1"/>
  <c r="AY27" i="22"/>
  <c r="BA48" i="22"/>
  <c r="BB46" i="22"/>
  <c r="AA47" i="22"/>
  <c r="AA28" i="22"/>
  <c r="AY28" i="22" s="1"/>
  <c r="AY26" i="22"/>
  <c r="F13" i="22"/>
  <c r="BA26" i="22"/>
  <c r="AA31" i="22"/>
  <c r="AD13" i="22"/>
  <c r="BA18" i="22"/>
  <c r="AR13" i="22"/>
  <c r="AR12" i="22" s="1"/>
  <c r="G12" i="22"/>
  <c r="BA51" i="22"/>
  <c r="E43" i="22"/>
  <c r="D44" i="22"/>
  <c r="C44" i="22" s="1"/>
  <c r="BI22" i="22"/>
  <c r="AY33" i="22"/>
  <c r="C15" i="22"/>
  <c r="AY37" i="22"/>
  <c r="BM45" i="22"/>
  <c r="AE12" i="22"/>
  <c r="BC13" i="22"/>
  <c r="AP12" i="22"/>
  <c r="BN13" i="22"/>
  <c r="M50" i="22"/>
  <c r="BI50" i="22" s="1"/>
  <c r="AZ47" i="22"/>
  <c r="AD41" i="22"/>
  <c r="BB42" i="22"/>
  <c r="AH12" i="22"/>
  <c r="BF13" i="22"/>
  <c r="Q13" i="22"/>
  <c r="BM13" i="22" s="1"/>
  <c r="D13" i="22"/>
  <c r="C14" i="22"/>
  <c r="E22" i="22"/>
  <c r="Q41" i="22"/>
  <c r="BM41" i="22" s="1"/>
  <c r="E42" i="22"/>
  <c r="BM42" i="22"/>
  <c r="E50" i="22"/>
  <c r="BA50" i="22" s="1"/>
  <c r="BA34" i="22"/>
  <c r="AA34" i="22"/>
  <c r="AY34" i="22" s="1"/>
  <c r="BK12" i="22"/>
  <c r="AL12" i="22"/>
  <c r="E45" i="22"/>
  <c r="C45" i="22" s="1"/>
  <c r="T13" i="22"/>
  <c r="D46" i="22"/>
  <c r="AA46" i="22"/>
  <c r="AZ18" i="22"/>
  <c r="BB47" i="22"/>
  <c r="U41" i="22"/>
  <c r="U12" i="22" s="1"/>
  <c r="N41" i="22"/>
  <c r="M44" i="22"/>
  <c r="BI44" i="22" s="1"/>
  <c r="AY25" i="22"/>
  <c r="AA51" i="22"/>
  <c r="AZ51" i="22"/>
  <c r="AZ32" i="22"/>
  <c r="C51" i="22"/>
  <c r="M42" i="22"/>
  <c r="BM22" i="22"/>
  <c r="C49" i="22"/>
  <c r="BK41" i="22"/>
  <c r="AZ20" i="22"/>
  <c r="AA20" i="22"/>
  <c r="AA16" i="22"/>
  <c r="AY16" i="22" s="1"/>
  <c r="X12" i="22"/>
  <c r="AA43" i="22"/>
  <c r="AZ43" i="22"/>
  <c r="F41" i="22"/>
  <c r="AC41" i="22"/>
  <c r="AB41" i="22"/>
  <c r="BA36" i="22"/>
  <c r="BA14" i="22"/>
  <c r="AC13" i="22"/>
  <c r="AB13" i="22"/>
  <c r="AA14" i="22"/>
  <c r="AK13" i="22"/>
  <c r="E13" i="22"/>
  <c r="AZ48" i="22"/>
  <c r="AA48" i="22"/>
  <c r="AZ45" i="22"/>
  <c r="AA45" i="22"/>
  <c r="AA42" i="22"/>
  <c r="AA50" i="22"/>
  <c r="AZ50" i="22"/>
  <c r="BI43" i="22"/>
  <c r="AK41" i="22"/>
  <c r="BA37" i="22"/>
  <c r="AO12" i="22"/>
  <c r="AZ49" i="22"/>
  <c r="AA49" i="22"/>
  <c r="AB41" i="16"/>
  <c r="AB16" i="16"/>
  <c r="AB55" i="16"/>
  <c r="AB51" i="16"/>
  <c r="U14" i="16"/>
  <c r="AB25" i="16"/>
  <c r="AB32" i="16"/>
  <c r="AB23" i="16"/>
  <c r="AB39" i="16"/>
  <c r="AB68" i="16"/>
  <c r="AB74" i="16"/>
  <c r="AB67" i="16"/>
  <c r="AB47" i="16"/>
  <c r="AB46" i="16"/>
  <c r="AB52" i="16"/>
  <c r="AB40" i="16"/>
  <c r="AB29" i="16"/>
  <c r="C92" i="16"/>
  <c r="AE92" i="16"/>
  <c r="AB59" i="16"/>
  <c r="AB24" i="16"/>
  <c r="AB30" i="16"/>
  <c r="AB100" i="16"/>
  <c r="AB36" i="16"/>
  <c r="AB38" i="16"/>
  <c r="AB45" i="16"/>
  <c r="AD104" i="16"/>
  <c r="AB18" i="16"/>
  <c r="N92" i="16"/>
  <c r="AB92" i="16" s="1"/>
  <c r="AC92" i="16"/>
  <c r="P13" i="16"/>
  <c r="C17" i="16"/>
  <c r="AB17" i="16" s="1"/>
  <c r="N34" i="16"/>
  <c r="AB15" i="16"/>
  <c r="O13" i="16"/>
  <c r="AC14" i="16"/>
  <c r="AD17" i="16"/>
  <c r="AB93" i="16"/>
  <c r="G37" i="3"/>
  <c r="G32" i="3" s="1"/>
  <c r="G12" i="3"/>
  <c r="C38" i="3"/>
  <c r="D37" i="3"/>
  <c r="C9" i="3"/>
  <c r="H32" i="3"/>
  <c r="E8" i="3"/>
  <c r="AY48" i="22" l="1"/>
  <c r="AY38" i="22"/>
  <c r="N12" i="22"/>
  <c r="BJ12" i="22" s="1"/>
  <c r="AY47" i="22"/>
  <c r="AY20" i="22"/>
  <c r="AY15" i="22"/>
  <c r="AB34" i="16"/>
  <c r="N14" i="16"/>
  <c r="AY17" i="22"/>
  <c r="AY32" i="22"/>
  <c r="AY21" i="22"/>
  <c r="AY24" i="22"/>
  <c r="AZ44" i="22"/>
  <c r="BN12" i="22"/>
  <c r="BF12" i="22"/>
  <c r="AY31" i="22"/>
  <c r="F12" i="22"/>
  <c r="AY51" i="22"/>
  <c r="BB13" i="22"/>
  <c r="AY45" i="22"/>
  <c r="BC12" i="22"/>
  <c r="T12" i="22"/>
  <c r="AD12" i="22"/>
  <c r="C43" i="22"/>
  <c r="AY43" i="22" s="1"/>
  <c r="BA43" i="22"/>
  <c r="BB41" i="22"/>
  <c r="AY14" i="22"/>
  <c r="AA13" i="22"/>
  <c r="E41" i="22"/>
  <c r="BA41" i="22" s="1"/>
  <c r="C42" i="22"/>
  <c r="AZ13" i="22"/>
  <c r="AB12" i="22"/>
  <c r="BA13" i="22"/>
  <c r="AC12" i="22"/>
  <c r="BA22" i="22"/>
  <c r="C22" i="22"/>
  <c r="AY22" i="22" s="1"/>
  <c r="AA41" i="22"/>
  <c r="BJ41" i="22"/>
  <c r="C46" i="22"/>
  <c r="AY46" i="22" s="1"/>
  <c r="AZ46" i="22"/>
  <c r="C50" i="22"/>
  <c r="AY50" i="22" s="1"/>
  <c r="Q12" i="22"/>
  <c r="M41" i="22"/>
  <c r="M12" i="22" s="1"/>
  <c r="BI42" i="22"/>
  <c r="AY49" i="22"/>
  <c r="BI13" i="22"/>
  <c r="AK12" i="22"/>
  <c r="BA42" i="22"/>
  <c r="BA45" i="22"/>
  <c r="D41" i="22"/>
  <c r="AZ41" i="22" s="1"/>
  <c r="AD14" i="16"/>
  <c r="C14" i="16"/>
  <c r="E13" i="16"/>
  <c r="AD13" i="16" s="1"/>
  <c r="P12" i="16"/>
  <c r="U13" i="16"/>
  <c r="AE14" i="16"/>
  <c r="AC13" i="16"/>
  <c r="O12" i="16"/>
  <c r="AC12" i="16" s="1"/>
  <c r="H12" i="3"/>
  <c r="H11" i="3" s="1"/>
  <c r="H10" i="3" s="1"/>
  <c r="H9" i="3" s="1"/>
  <c r="G11" i="3"/>
  <c r="G10" i="3" s="1"/>
  <c r="G9" i="3" s="1"/>
  <c r="C37" i="3"/>
  <c r="D32" i="3"/>
  <c r="G8" i="3" l="1"/>
  <c r="H8" i="3" s="1"/>
  <c r="BB12" i="22"/>
  <c r="BM12" i="22"/>
  <c r="C41" i="22"/>
  <c r="AY41" i="22" s="1"/>
  <c r="D12" i="22"/>
  <c r="AA12" i="22"/>
  <c r="C13" i="22"/>
  <c r="E12" i="22"/>
  <c r="BI41" i="22"/>
  <c r="AY42" i="22"/>
  <c r="BI12" i="22"/>
  <c r="E12" i="16"/>
  <c r="C12" i="16" s="1"/>
  <c r="C13" i="16"/>
  <c r="U12" i="16"/>
  <c r="AE12" i="16" s="1"/>
  <c r="AE13" i="16"/>
  <c r="N13" i="16"/>
  <c r="AB14" i="16"/>
  <c r="C32" i="3"/>
  <c r="D8" i="3"/>
  <c r="C8" i="3" s="1"/>
  <c r="AZ12" i="22" l="1"/>
  <c r="BA12" i="22"/>
  <c r="C12" i="22"/>
  <c r="AY12" i="22" s="1"/>
  <c r="AY13" i="22"/>
  <c r="AB13" i="16"/>
  <c r="N12" i="16"/>
  <c r="AB12" i="16" s="1"/>
  <c r="AD12" i="16"/>
  <c r="S13" i="6" l="1"/>
  <c r="R15" i="6"/>
  <c r="D10" i="6"/>
  <c r="F10" i="6"/>
  <c r="G10" i="6"/>
  <c r="H10" i="6"/>
  <c r="J10" i="6"/>
  <c r="L10" i="6"/>
  <c r="R10" i="6" s="1"/>
  <c r="M10" i="6"/>
  <c r="N10" i="6"/>
  <c r="E11" i="6"/>
  <c r="C11" i="6" s="1"/>
  <c r="K11" i="6"/>
  <c r="Q11" i="6" s="1"/>
  <c r="P11" i="6"/>
  <c r="R11" i="6"/>
  <c r="E12" i="6"/>
  <c r="C12" i="6" s="1"/>
  <c r="K12" i="6"/>
  <c r="I12" i="6" s="1"/>
  <c r="P12" i="6"/>
  <c r="R12" i="6"/>
  <c r="E13" i="6"/>
  <c r="C13" i="6" s="1"/>
  <c r="K13" i="6"/>
  <c r="I13" i="6" s="1"/>
  <c r="P13" i="6"/>
  <c r="R13" i="6"/>
  <c r="E14" i="6"/>
  <c r="C14" i="6" s="1"/>
  <c r="K14" i="6"/>
  <c r="I14" i="6" s="1"/>
  <c r="P14" i="6"/>
  <c r="R14" i="6"/>
  <c r="E15" i="6"/>
  <c r="C15" i="6" s="1"/>
  <c r="K15" i="6"/>
  <c r="I15" i="6" s="1"/>
  <c r="P15" i="6"/>
  <c r="E16" i="6"/>
  <c r="C16" i="6" s="1"/>
  <c r="K16" i="6"/>
  <c r="I16" i="6" s="1"/>
  <c r="P16" i="6"/>
  <c r="R16" i="6"/>
  <c r="E17" i="6"/>
  <c r="C17" i="6" s="1"/>
  <c r="K17" i="6"/>
  <c r="I17" i="6" s="1"/>
  <c r="P17" i="6"/>
  <c r="R17" i="6"/>
  <c r="E18" i="6"/>
  <c r="C18" i="6" s="1"/>
  <c r="K18" i="6"/>
  <c r="I18" i="6" s="1"/>
  <c r="P18" i="6"/>
  <c r="R18" i="6"/>
  <c r="E19" i="6"/>
  <c r="C19" i="6" s="1"/>
  <c r="K19" i="6"/>
  <c r="I19" i="6" s="1"/>
  <c r="P19" i="6"/>
  <c r="R19" i="6"/>
  <c r="E20" i="6"/>
  <c r="C20" i="6" s="1"/>
  <c r="K20" i="6"/>
  <c r="I20" i="6" s="1"/>
  <c r="P20" i="6"/>
  <c r="R20" i="6"/>
  <c r="E37" i="4"/>
  <c r="E26" i="4"/>
  <c r="E16" i="4"/>
  <c r="E20" i="4"/>
  <c r="E28" i="4"/>
  <c r="E32" i="4"/>
  <c r="E36" i="4"/>
  <c r="E42" i="4"/>
  <c r="E14" i="4"/>
  <c r="E15" i="4"/>
  <c r="E17" i="4"/>
  <c r="E18" i="4"/>
  <c r="E19" i="4"/>
  <c r="E21" i="4"/>
  <c r="E22" i="4"/>
  <c r="E23" i="4"/>
  <c r="E24" i="4"/>
  <c r="E25" i="4"/>
  <c r="E29" i="4"/>
  <c r="E30" i="4"/>
  <c r="E31" i="4"/>
  <c r="E33" i="4"/>
  <c r="E34" i="4"/>
  <c r="E35" i="4"/>
  <c r="E38" i="4"/>
  <c r="E39" i="4"/>
  <c r="E40" i="4"/>
  <c r="E41" i="4"/>
  <c r="E43" i="4"/>
  <c r="Q18" i="6" l="1"/>
  <c r="P10" i="6"/>
  <c r="O17" i="6"/>
  <c r="O20" i="6"/>
  <c r="Q15" i="6"/>
  <c r="Q19" i="6"/>
  <c r="K10" i="6"/>
  <c r="I11" i="6"/>
  <c r="I10" i="6" s="1"/>
  <c r="Q20" i="6"/>
  <c r="Q12" i="6"/>
  <c r="O18" i="6"/>
  <c r="Q16" i="6"/>
  <c r="O15" i="6"/>
  <c r="Q13" i="6"/>
  <c r="Q17" i="6"/>
  <c r="Q14" i="6"/>
  <c r="O13" i="6"/>
  <c r="O12" i="6"/>
  <c r="O14" i="6"/>
  <c r="C10" i="6"/>
  <c r="O16" i="6"/>
  <c r="O19" i="6"/>
  <c r="E10" i="6"/>
  <c r="E11" i="4"/>
  <c r="E12" i="4"/>
  <c r="E10" i="4"/>
  <c r="E9" i="4"/>
  <c r="Q10" i="6" l="1"/>
  <c r="O11" i="6"/>
  <c r="O10" i="6"/>
  <c r="E8" i="4"/>
  <c r="D42" i="1" l="1"/>
  <c r="C42" i="1"/>
  <c r="E23" i="18" l="1"/>
  <c r="F23" i="18"/>
  <c r="E29" i="1" l="1"/>
  <c r="E30" i="1"/>
  <c r="E31" i="1"/>
  <c r="E32" i="1"/>
  <c r="D23" i="1"/>
  <c r="D22" i="1" s="1"/>
  <c r="C23" i="1"/>
  <c r="C22" i="1" s="1"/>
  <c r="D33" i="1"/>
  <c r="AA118" i="19"/>
  <c r="AA11" i="19" s="1"/>
  <c r="U118" i="19"/>
  <c r="K118" i="19"/>
  <c r="C118" i="19" s="1"/>
  <c r="X117" i="19"/>
  <c r="U117" i="19"/>
  <c r="K117" i="19"/>
  <c r="C117" i="19"/>
  <c r="U116" i="19"/>
  <c r="K116" i="19"/>
  <c r="N115" i="19"/>
  <c r="C115" i="19"/>
  <c r="N114" i="19"/>
  <c r="C114" i="19"/>
  <c r="X113" i="19"/>
  <c r="N113" i="19" s="1"/>
  <c r="U113" i="19"/>
  <c r="K113" i="19"/>
  <c r="C113" i="19" s="1"/>
  <c r="X112" i="19"/>
  <c r="U112" i="19"/>
  <c r="T112" i="19"/>
  <c r="P112" i="19"/>
  <c r="K112" i="19"/>
  <c r="C112" i="19" s="1"/>
  <c r="X111" i="19"/>
  <c r="U111" i="19"/>
  <c r="S111" i="19"/>
  <c r="K111" i="19"/>
  <c r="C111" i="19" s="1"/>
  <c r="AC110" i="19"/>
  <c r="E110" i="19"/>
  <c r="F109" i="19"/>
  <c r="E108" i="19"/>
  <c r="AD108" i="19" s="1"/>
  <c r="E107" i="19"/>
  <c r="C107" i="19"/>
  <c r="E106" i="19"/>
  <c r="C106" i="19" s="1"/>
  <c r="E105" i="19"/>
  <c r="E104" i="19"/>
  <c r="K102" i="19"/>
  <c r="C102" i="19"/>
  <c r="AC101" i="19"/>
  <c r="X101" i="19"/>
  <c r="U101" i="19"/>
  <c r="N101" i="19"/>
  <c r="K101" i="19"/>
  <c r="C101" i="19"/>
  <c r="AC100" i="19"/>
  <c r="X100" i="19"/>
  <c r="U100" i="19"/>
  <c r="K100" i="19"/>
  <c r="AC99" i="19"/>
  <c r="X99" i="19"/>
  <c r="U99" i="19"/>
  <c r="K99" i="19"/>
  <c r="AC98" i="19"/>
  <c r="X98" i="19"/>
  <c r="U98" i="19"/>
  <c r="K98" i="19"/>
  <c r="AC97" i="19"/>
  <c r="X97" i="19"/>
  <c r="U97" i="19"/>
  <c r="K97" i="19"/>
  <c r="AC96" i="19"/>
  <c r="X96" i="19"/>
  <c r="U96" i="19"/>
  <c r="K96" i="19"/>
  <c r="AC95" i="19"/>
  <c r="X95" i="19"/>
  <c r="U95" i="19"/>
  <c r="N95" i="19"/>
  <c r="K95" i="19"/>
  <c r="C95" i="19" s="1"/>
  <c r="AC94" i="19"/>
  <c r="X94" i="19"/>
  <c r="U94" i="19"/>
  <c r="K94" i="19"/>
  <c r="C94" i="19"/>
  <c r="AC93" i="19"/>
  <c r="X93" i="19"/>
  <c r="U93" i="19"/>
  <c r="N93" i="19"/>
  <c r="K93" i="19"/>
  <c r="C93" i="19"/>
  <c r="AC92" i="19"/>
  <c r="X92" i="19"/>
  <c r="U92" i="19"/>
  <c r="K92" i="19"/>
  <c r="Z91" i="19"/>
  <c r="Y91" i="19"/>
  <c r="V91" i="19"/>
  <c r="O91" i="19"/>
  <c r="M91" i="19"/>
  <c r="L91" i="19"/>
  <c r="J91" i="19"/>
  <c r="I91" i="19"/>
  <c r="E91" i="19"/>
  <c r="D91" i="19"/>
  <c r="U90" i="19"/>
  <c r="R90" i="19"/>
  <c r="P90" i="19" s="1"/>
  <c r="O90" i="19"/>
  <c r="K90" i="19"/>
  <c r="E90" i="19"/>
  <c r="P89" i="19"/>
  <c r="E89" i="19"/>
  <c r="U88" i="19"/>
  <c r="P88" i="19"/>
  <c r="K88" i="19"/>
  <c r="E88" i="19"/>
  <c r="U87" i="19"/>
  <c r="P87" i="19"/>
  <c r="K87" i="19"/>
  <c r="E87" i="19"/>
  <c r="U86" i="19"/>
  <c r="P86" i="19"/>
  <c r="K86" i="19"/>
  <c r="E86" i="19"/>
  <c r="U85" i="19"/>
  <c r="P85" i="19"/>
  <c r="K85" i="19"/>
  <c r="E85" i="19"/>
  <c r="U84" i="19"/>
  <c r="P84" i="19"/>
  <c r="N84" i="19" s="1"/>
  <c r="K84" i="19"/>
  <c r="E84" i="19"/>
  <c r="U83" i="19"/>
  <c r="P83" i="19"/>
  <c r="K83" i="19"/>
  <c r="H83" i="19"/>
  <c r="U82" i="19"/>
  <c r="P82" i="19"/>
  <c r="K82" i="19"/>
  <c r="E82" i="19"/>
  <c r="C82" i="19"/>
  <c r="U81" i="19"/>
  <c r="P81" i="19"/>
  <c r="K81" i="19"/>
  <c r="E81" i="19"/>
  <c r="U80" i="19"/>
  <c r="R80" i="19"/>
  <c r="P80" i="19" s="1"/>
  <c r="K80" i="19"/>
  <c r="E80" i="19"/>
  <c r="AC79" i="19"/>
  <c r="U79" i="19"/>
  <c r="P79" i="19"/>
  <c r="N79" i="19"/>
  <c r="K79" i="19"/>
  <c r="E79" i="19"/>
  <c r="AC78" i="19"/>
  <c r="U78" i="19"/>
  <c r="P78" i="19"/>
  <c r="K78" i="19"/>
  <c r="E78" i="19"/>
  <c r="AC77" i="19"/>
  <c r="U77" i="19"/>
  <c r="P77" i="19"/>
  <c r="K77" i="19"/>
  <c r="E77" i="19"/>
  <c r="AC76" i="19"/>
  <c r="U76" i="19"/>
  <c r="P76" i="19"/>
  <c r="K76" i="19"/>
  <c r="E76" i="19"/>
  <c r="AC75" i="19"/>
  <c r="U75" i="19"/>
  <c r="P75" i="19"/>
  <c r="K75" i="19"/>
  <c r="E75" i="19"/>
  <c r="AC74" i="19"/>
  <c r="U74" i="19"/>
  <c r="N74" i="19" s="1"/>
  <c r="P74" i="19"/>
  <c r="K74" i="19"/>
  <c r="E74" i="19"/>
  <c r="AC73" i="19"/>
  <c r="U73" i="19"/>
  <c r="P73" i="19"/>
  <c r="K73" i="19"/>
  <c r="E73" i="19"/>
  <c r="AC72" i="19"/>
  <c r="U72" i="19"/>
  <c r="P72" i="19"/>
  <c r="N72" i="19" s="1"/>
  <c r="K72" i="19"/>
  <c r="E72" i="19"/>
  <c r="AC71" i="19"/>
  <c r="U71" i="19"/>
  <c r="P71" i="19"/>
  <c r="K71" i="19"/>
  <c r="E71" i="19"/>
  <c r="AC70" i="19"/>
  <c r="U70" i="19"/>
  <c r="P70" i="19"/>
  <c r="K70" i="19"/>
  <c r="E70" i="19"/>
  <c r="AC69" i="19"/>
  <c r="U69" i="19"/>
  <c r="P69" i="19"/>
  <c r="K69" i="19"/>
  <c r="E69" i="19"/>
  <c r="AC68" i="19"/>
  <c r="U68" i="19"/>
  <c r="P68" i="19"/>
  <c r="K68" i="19"/>
  <c r="E68" i="19"/>
  <c r="AC67" i="19"/>
  <c r="U67" i="19"/>
  <c r="P67" i="19"/>
  <c r="K67" i="19"/>
  <c r="E67" i="19"/>
  <c r="U66" i="19"/>
  <c r="P66" i="19"/>
  <c r="K66" i="19"/>
  <c r="E66" i="19"/>
  <c r="U65" i="19"/>
  <c r="P65" i="19"/>
  <c r="K65" i="19"/>
  <c r="E65" i="19"/>
  <c r="U64" i="19"/>
  <c r="P64" i="19"/>
  <c r="K64" i="19"/>
  <c r="E64" i="19"/>
  <c r="U63" i="19"/>
  <c r="P63" i="19"/>
  <c r="K63" i="19"/>
  <c r="E63" i="19"/>
  <c r="U62" i="19"/>
  <c r="P62" i="19"/>
  <c r="K62" i="19"/>
  <c r="E62" i="19"/>
  <c r="U61" i="19"/>
  <c r="P61" i="19"/>
  <c r="K61" i="19"/>
  <c r="E61" i="19"/>
  <c r="C61" i="19" s="1"/>
  <c r="U60" i="19"/>
  <c r="P60" i="19"/>
  <c r="K60" i="19"/>
  <c r="E60" i="19"/>
  <c r="U59" i="19"/>
  <c r="P59" i="19"/>
  <c r="K59" i="19"/>
  <c r="E59" i="19"/>
  <c r="U58" i="19"/>
  <c r="P58" i="19"/>
  <c r="K58" i="19"/>
  <c r="E58" i="19"/>
  <c r="U57" i="19"/>
  <c r="P57" i="19"/>
  <c r="K57" i="19"/>
  <c r="E57" i="19"/>
  <c r="U56" i="19"/>
  <c r="P56" i="19"/>
  <c r="K56" i="19"/>
  <c r="E56" i="19"/>
  <c r="U55" i="19"/>
  <c r="Q55" i="19"/>
  <c r="K55" i="19"/>
  <c r="E55" i="19"/>
  <c r="U54" i="19"/>
  <c r="P54" i="19"/>
  <c r="K54" i="19"/>
  <c r="E54" i="19"/>
  <c r="U53" i="19"/>
  <c r="P53" i="19"/>
  <c r="N53" i="19"/>
  <c r="K53" i="19"/>
  <c r="E53" i="19"/>
  <c r="U52" i="19"/>
  <c r="P52" i="19"/>
  <c r="K52" i="19"/>
  <c r="E52" i="19"/>
  <c r="U51" i="19"/>
  <c r="P51" i="19"/>
  <c r="K51" i="19"/>
  <c r="E51" i="19"/>
  <c r="U50" i="19"/>
  <c r="P50" i="19"/>
  <c r="K50" i="19"/>
  <c r="E50" i="19"/>
  <c r="U49" i="19"/>
  <c r="P49" i="19"/>
  <c r="N49" i="19" s="1"/>
  <c r="K49" i="19"/>
  <c r="E49" i="19"/>
  <c r="U48" i="19"/>
  <c r="P48" i="19"/>
  <c r="K48" i="19"/>
  <c r="E48" i="19"/>
  <c r="U47" i="19"/>
  <c r="P47" i="19"/>
  <c r="K47" i="19"/>
  <c r="E47" i="19"/>
  <c r="U46" i="19"/>
  <c r="P46" i="19"/>
  <c r="K46" i="19"/>
  <c r="E46" i="19"/>
  <c r="U45" i="19"/>
  <c r="P45" i="19"/>
  <c r="N45" i="19"/>
  <c r="K45" i="19"/>
  <c r="E45" i="19"/>
  <c r="AC44" i="19"/>
  <c r="U44" i="19"/>
  <c r="P44" i="19"/>
  <c r="K44" i="19"/>
  <c r="H44" i="19"/>
  <c r="AC43" i="19"/>
  <c r="U43" i="19"/>
  <c r="Q43" i="19"/>
  <c r="P43" i="19" s="1"/>
  <c r="K43" i="19"/>
  <c r="H43" i="19"/>
  <c r="F43" i="19"/>
  <c r="U42" i="19"/>
  <c r="P42" i="19"/>
  <c r="K42" i="19"/>
  <c r="E42" i="19"/>
  <c r="U41" i="19"/>
  <c r="Q41" i="19"/>
  <c r="K41" i="19"/>
  <c r="E41" i="19"/>
  <c r="C41" i="19" s="1"/>
  <c r="U40" i="19"/>
  <c r="Q40" i="19"/>
  <c r="P40" i="19" s="1"/>
  <c r="N40" i="19" s="1"/>
  <c r="K40" i="19"/>
  <c r="E40" i="19"/>
  <c r="U39" i="19"/>
  <c r="P39" i="19"/>
  <c r="K39" i="19"/>
  <c r="E39" i="19"/>
  <c r="AC38" i="19"/>
  <c r="U38" i="19"/>
  <c r="Q38" i="19"/>
  <c r="K38" i="19"/>
  <c r="E38" i="19"/>
  <c r="U37" i="19"/>
  <c r="P37" i="19"/>
  <c r="K37" i="19"/>
  <c r="E37" i="19"/>
  <c r="AC36" i="19"/>
  <c r="Q36" i="19"/>
  <c r="K36" i="19"/>
  <c r="E36" i="19"/>
  <c r="U35" i="19"/>
  <c r="P35" i="19"/>
  <c r="K35" i="19"/>
  <c r="E35" i="19"/>
  <c r="U34" i="19"/>
  <c r="P34" i="19"/>
  <c r="K34" i="19"/>
  <c r="F34" i="19"/>
  <c r="U33" i="19"/>
  <c r="P33" i="19"/>
  <c r="K33" i="19"/>
  <c r="E33" i="19"/>
  <c r="U32" i="19"/>
  <c r="Q32" i="19"/>
  <c r="P32" i="19" s="1"/>
  <c r="N32" i="19" s="1"/>
  <c r="K32" i="19"/>
  <c r="E32" i="19"/>
  <c r="C32" i="19" s="1"/>
  <c r="U31" i="19"/>
  <c r="P31" i="19"/>
  <c r="N31" i="19" s="1"/>
  <c r="K31" i="19"/>
  <c r="H31" i="19"/>
  <c r="AC30" i="19"/>
  <c r="U30" i="19"/>
  <c r="Q30" i="19"/>
  <c r="P30" i="19" s="1"/>
  <c r="K30" i="19"/>
  <c r="E30" i="19"/>
  <c r="AC29" i="19"/>
  <c r="U29" i="19"/>
  <c r="Q29" i="19"/>
  <c r="P29" i="19" s="1"/>
  <c r="K29" i="19"/>
  <c r="E29" i="19"/>
  <c r="U28" i="19"/>
  <c r="Q28" i="19"/>
  <c r="P28" i="19"/>
  <c r="O28" i="19"/>
  <c r="K28" i="19"/>
  <c r="E28" i="19"/>
  <c r="D28" i="19"/>
  <c r="U27" i="19"/>
  <c r="Q27" i="19"/>
  <c r="K27" i="19"/>
  <c r="E27" i="19"/>
  <c r="AC26" i="19"/>
  <c r="U26" i="19"/>
  <c r="Q26" i="19"/>
  <c r="P26" i="19"/>
  <c r="N26" i="19" s="1"/>
  <c r="K26" i="19"/>
  <c r="E26" i="19"/>
  <c r="AC25" i="19"/>
  <c r="U25" i="19"/>
  <c r="Q25" i="19"/>
  <c r="K25" i="19"/>
  <c r="E25" i="19"/>
  <c r="U24" i="19"/>
  <c r="P24" i="19"/>
  <c r="O24" i="19"/>
  <c r="K24" i="19"/>
  <c r="E24" i="19"/>
  <c r="U23" i="19"/>
  <c r="Q23" i="19"/>
  <c r="K23" i="19"/>
  <c r="E23" i="19"/>
  <c r="C23" i="19"/>
  <c r="AC22" i="19"/>
  <c r="U22" i="19"/>
  <c r="Q22" i="19"/>
  <c r="P22" i="19"/>
  <c r="K22" i="19"/>
  <c r="H22" i="19"/>
  <c r="AC21" i="19"/>
  <c r="U21" i="19"/>
  <c r="Q21" i="19"/>
  <c r="K21" i="19"/>
  <c r="E21" i="19"/>
  <c r="U20" i="19"/>
  <c r="R20" i="19"/>
  <c r="Q20" i="19"/>
  <c r="K20" i="19"/>
  <c r="G20" i="19"/>
  <c r="E20" i="19" s="1"/>
  <c r="D20" i="19"/>
  <c r="AC19" i="19"/>
  <c r="U19" i="19"/>
  <c r="Q19" i="19"/>
  <c r="K19" i="19"/>
  <c r="H19" i="19"/>
  <c r="E19" i="19"/>
  <c r="AC18" i="19"/>
  <c r="U18" i="19"/>
  <c r="Q18" i="19"/>
  <c r="P18" i="19"/>
  <c r="N18" i="19" s="1"/>
  <c r="K18" i="19"/>
  <c r="E18" i="19"/>
  <c r="C18" i="19"/>
  <c r="AC17" i="19"/>
  <c r="U17" i="19"/>
  <c r="Q17" i="19"/>
  <c r="K17" i="19"/>
  <c r="E17" i="19"/>
  <c r="U16" i="19"/>
  <c r="Q16" i="19"/>
  <c r="P16" i="19"/>
  <c r="K16" i="19"/>
  <c r="E16" i="19"/>
  <c r="AC15" i="19"/>
  <c r="U15" i="19"/>
  <c r="Q15" i="19"/>
  <c r="P15" i="19"/>
  <c r="K15" i="19"/>
  <c r="H15" i="19"/>
  <c r="E15" i="19" s="1"/>
  <c r="AC14" i="19"/>
  <c r="U14" i="19"/>
  <c r="U13" i="19" s="1"/>
  <c r="Q14" i="19"/>
  <c r="K14" i="19"/>
  <c r="E14" i="19"/>
  <c r="Z13" i="19"/>
  <c r="Z12" i="19" s="1"/>
  <c r="Z11" i="19" s="1"/>
  <c r="Y13" i="19"/>
  <c r="Y12" i="19" s="1"/>
  <c r="Y11" i="19" s="1"/>
  <c r="X13" i="19"/>
  <c r="W13" i="19"/>
  <c r="W12" i="19" s="1"/>
  <c r="W11" i="19" s="1"/>
  <c r="V13" i="19"/>
  <c r="T13" i="19"/>
  <c r="T12" i="19" s="1"/>
  <c r="S13" i="19"/>
  <c r="S12" i="19" s="1"/>
  <c r="S11" i="19" s="1"/>
  <c r="M13" i="19"/>
  <c r="M12" i="19" s="1"/>
  <c r="M11" i="19" s="1"/>
  <c r="L13" i="19"/>
  <c r="L12" i="19" s="1"/>
  <c r="J13" i="19"/>
  <c r="J12" i="19" s="1"/>
  <c r="J11" i="19" s="1"/>
  <c r="I13" i="19"/>
  <c r="I12" i="19" s="1"/>
  <c r="I11" i="19" s="1"/>
  <c r="F48" i="18"/>
  <c r="E48" i="18"/>
  <c r="F47" i="18"/>
  <c r="E47" i="18"/>
  <c r="F45" i="18"/>
  <c r="E45" i="18"/>
  <c r="D44" i="18"/>
  <c r="F43" i="18"/>
  <c r="E43" i="18"/>
  <c r="F42" i="18"/>
  <c r="E42" i="18"/>
  <c r="F41" i="18"/>
  <c r="E41" i="18"/>
  <c r="D40" i="18"/>
  <c r="E40" i="18" s="1"/>
  <c r="C39" i="18"/>
  <c r="F39" i="18" s="1"/>
  <c r="D38" i="18"/>
  <c r="D27" i="18" s="1"/>
  <c r="C38" i="18"/>
  <c r="C37" i="18"/>
  <c r="F37" i="18" s="1"/>
  <c r="C36" i="18"/>
  <c r="F36" i="18" s="1"/>
  <c r="C35" i="18"/>
  <c r="F34" i="18"/>
  <c r="E34" i="18"/>
  <c r="F33" i="18"/>
  <c r="E33" i="18"/>
  <c r="F32" i="18"/>
  <c r="E32" i="18"/>
  <c r="F31" i="18"/>
  <c r="E31" i="18"/>
  <c r="C30" i="18"/>
  <c r="F30" i="18" s="1"/>
  <c r="C29" i="18"/>
  <c r="F29" i="18" s="1"/>
  <c r="C28" i="18"/>
  <c r="F28" i="18" s="1"/>
  <c r="F26" i="18"/>
  <c r="E26" i="18"/>
  <c r="F25" i="18"/>
  <c r="E25" i="18"/>
  <c r="F24" i="18"/>
  <c r="E24" i="18"/>
  <c r="F22" i="18"/>
  <c r="E22" i="18"/>
  <c r="F21" i="18"/>
  <c r="E21" i="18"/>
  <c r="F19" i="18"/>
  <c r="E19" i="18"/>
  <c r="F18" i="18"/>
  <c r="E18" i="18"/>
  <c r="F17" i="18"/>
  <c r="E17" i="18"/>
  <c r="F16" i="18"/>
  <c r="E16" i="18"/>
  <c r="F15" i="18"/>
  <c r="E15" i="18"/>
  <c r="J14" i="18"/>
  <c r="F14" i="18"/>
  <c r="E14" i="18"/>
  <c r="F13" i="18"/>
  <c r="E13" i="18"/>
  <c r="C12" i="18"/>
  <c r="D9" i="18"/>
  <c r="E9" i="18" s="1"/>
  <c r="K107" i="17"/>
  <c r="J107" i="17"/>
  <c r="I107" i="17"/>
  <c r="K106" i="17"/>
  <c r="J106" i="17"/>
  <c r="I106" i="17"/>
  <c r="J105" i="17"/>
  <c r="K105" i="17"/>
  <c r="I105" i="17"/>
  <c r="J104" i="17"/>
  <c r="I104" i="17"/>
  <c r="K104" i="17"/>
  <c r="J103" i="17"/>
  <c r="K103" i="17"/>
  <c r="I103" i="17"/>
  <c r="J102" i="17"/>
  <c r="I102" i="17"/>
  <c r="K102" i="17"/>
  <c r="J101" i="17"/>
  <c r="K101" i="17"/>
  <c r="I101" i="17"/>
  <c r="J100" i="17"/>
  <c r="I100" i="17"/>
  <c r="K100" i="17"/>
  <c r="J99" i="17"/>
  <c r="K99" i="17"/>
  <c r="I99" i="17"/>
  <c r="J98" i="17"/>
  <c r="I98" i="17"/>
  <c r="K98" i="17"/>
  <c r="J97" i="17"/>
  <c r="K97" i="17"/>
  <c r="I97" i="17"/>
  <c r="J96" i="17"/>
  <c r="I96" i="17"/>
  <c r="K96" i="17"/>
  <c r="J95" i="17"/>
  <c r="I95" i="17"/>
  <c r="J94" i="17"/>
  <c r="K94" i="17"/>
  <c r="I94" i="17"/>
  <c r="J93" i="17"/>
  <c r="I93" i="17"/>
  <c r="J92" i="17"/>
  <c r="K92" i="17"/>
  <c r="I92" i="17"/>
  <c r="J91" i="17"/>
  <c r="I91" i="17"/>
  <c r="J90" i="17"/>
  <c r="I90" i="17"/>
  <c r="J89" i="17"/>
  <c r="I89" i="17"/>
  <c r="K89" i="17"/>
  <c r="J88" i="17"/>
  <c r="K88" i="17"/>
  <c r="I88" i="17"/>
  <c r="J87" i="17"/>
  <c r="I87" i="17"/>
  <c r="I85" i="17"/>
  <c r="K87" i="17"/>
  <c r="J86" i="17"/>
  <c r="K86" i="17"/>
  <c r="I86" i="17"/>
  <c r="K85" i="17"/>
  <c r="J85" i="17"/>
  <c r="J84" i="17"/>
  <c r="K84" i="17"/>
  <c r="J83" i="17"/>
  <c r="I83" i="17"/>
  <c r="K83" i="17"/>
  <c r="J82" i="17"/>
  <c r="K82" i="17"/>
  <c r="I82" i="17"/>
  <c r="J80" i="17"/>
  <c r="I80" i="17"/>
  <c r="J79" i="17"/>
  <c r="K79" i="17"/>
  <c r="I79" i="17"/>
  <c r="J78" i="17"/>
  <c r="I78" i="17"/>
  <c r="K78" i="17"/>
  <c r="J77" i="17"/>
  <c r="I77" i="17"/>
  <c r="J76" i="17"/>
  <c r="K76" i="17"/>
  <c r="I76" i="17"/>
  <c r="J74" i="17"/>
  <c r="K74" i="17"/>
  <c r="I74" i="17"/>
  <c r="J73" i="17"/>
  <c r="I73" i="17"/>
  <c r="K73" i="17"/>
  <c r="J72" i="17"/>
  <c r="K72" i="17"/>
  <c r="I72" i="17"/>
  <c r="J71" i="17"/>
  <c r="I71" i="17"/>
  <c r="K71" i="17"/>
  <c r="J70" i="17"/>
  <c r="I70" i="17"/>
  <c r="I37" i="17"/>
  <c r="K37" i="17"/>
  <c r="I36" i="17"/>
  <c r="K35" i="17"/>
  <c r="J35" i="17"/>
  <c r="I35" i="17"/>
  <c r="K34" i="17"/>
  <c r="J34" i="17"/>
  <c r="I34" i="17"/>
  <c r="J33" i="17"/>
  <c r="I33" i="17"/>
  <c r="I32" i="17"/>
  <c r="J31" i="17"/>
  <c r="I31" i="17"/>
  <c r="J30" i="17"/>
  <c r="K30" i="17"/>
  <c r="J29" i="17"/>
  <c r="I29" i="17"/>
  <c r="J28" i="17"/>
  <c r="J27" i="17"/>
  <c r="I27" i="17"/>
  <c r="K27" i="17"/>
  <c r="J26" i="17"/>
  <c r="K26" i="17"/>
  <c r="I26" i="17"/>
  <c r="J25" i="17"/>
  <c r="I25" i="17"/>
  <c r="K25" i="17"/>
  <c r="J24" i="17"/>
  <c r="I24" i="17"/>
  <c r="J23" i="17"/>
  <c r="K22" i="17"/>
  <c r="J22" i="17"/>
  <c r="I22" i="17"/>
  <c r="I21" i="17"/>
  <c r="J20" i="17"/>
  <c r="K20" i="17"/>
  <c r="I20" i="17"/>
  <c r="J19" i="17"/>
  <c r="J18" i="17"/>
  <c r="K18" i="17"/>
  <c r="I18" i="17"/>
  <c r="J17" i="17"/>
  <c r="J16" i="17"/>
  <c r="J15" i="17"/>
  <c r="J14" i="17"/>
  <c r="I14" i="17"/>
  <c r="J13" i="17"/>
  <c r="I13" i="17"/>
  <c r="K13" i="17"/>
  <c r="J12" i="17"/>
  <c r="J11" i="17"/>
  <c r="I11" i="17"/>
  <c r="I8" i="17"/>
  <c r="N43" i="19" l="1"/>
  <c r="AB43" i="19" s="1"/>
  <c r="AD50" i="19"/>
  <c r="N24" i="19"/>
  <c r="C20" i="19"/>
  <c r="N28" i="19"/>
  <c r="N33" i="19"/>
  <c r="AD33" i="19"/>
  <c r="AD37" i="19"/>
  <c r="E43" i="19"/>
  <c r="C43" i="19" s="1"/>
  <c r="C71" i="19"/>
  <c r="N77" i="19"/>
  <c r="N85" i="19"/>
  <c r="AC91" i="19"/>
  <c r="N118" i="19"/>
  <c r="C15" i="19"/>
  <c r="L11" i="19"/>
  <c r="AB18" i="19"/>
  <c r="AB32" i="19"/>
  <c r="D20" i="18"/>
  <c r="P17" i="19"/>
  <c r="AD17" i="19" s="1"/>
  <c r="E22" i="19"/>
  <c r="E34" i="19"/>
  <c r="N37" i="19"/>
  <c r="P38" i="19"/>
  <c r="AD46" i="19"/>
  <c r="N48" i="19"/>
  <c r="N51" i="19"/>
  <c r="AD54" i="19"/>
  <c r="C62" i="19"/>
  <c r="C73" i="19"/>
  <c r="C84" i="19"/>
  <c r="AD88" i="19"/>
  <c r="N90" i="19"/>
  <c r="N92" i="19"/>
  <c r="C97" i="19"/>
  <c r="N98" i="19"/>
  <c r="C100" i="19"/>
  <c r="C105" i="19"/>
  <c r="N117" i="19"/>
  <c r="Q13" i="19"/>
  <c r="O13" i="19"/>
  <c r="C26" i="19"/>
  <c r="C27" i="19"/>
  <c r="N29" i="19"/>
  <c r="N30" i="19"/>
  <c r="C36" i="19"/>
  <c r="AD39" i="19"/>
  <c r="N44" i="19"/>
  <c r="C47" i="19"/>
  <c r="N50" i="19"/>
  <c r="C52" i="19"/>
  <c r="C55" i="19"/>
  <c r="C57" i="19"/>
  <c r="C64" i="19"/>
  <c r="N67" i="19"/>
  <c r="C76" i="19"/>
  <c r="C79" i="19"/>
  <c r="AD80" i="19"/>
  <c r="N100" i="19"/>
  <c r="E109" i="19"/>
  <c r="C14" i="19"/>
  <c r="C16" i="19"/>
  <c r="AC20" i="19"/>
  <c r="C22" i="19"/>
  <c r="P23" i="19"/>
  <c r="AD24" i="19"/>
  <c r="AC28" i="19"/>
  <c r="P36" i="19"/>
  <c r="AD36" i="19" s="1"/>
  <c r="C40" i="19"/>
  <c r="P41" i="19"/>
  <c r="AD45" i="19"/>
  <c r="AD53" i="19"/>
  <c r="C59" i="19"/>
  <c r="C66" i="19"/>
  <c r="C69" i="19"/>
  <c r="N70" i="19"/>
  <c r="N82" i="19"/>
  <c r="C86" i="19"/>
  <c r="N87" i="19"/>
  <c r="C89" i="19"/>
  <c r="N97" i="19"/>
  <c r="AD105" i="19"/>
  <c r="C110" i="19"/>
  <c r="N111" i="19"/>
  <c r="AB111" i="19" s="1"/>
  <c r="C116" i="19"/>
  <c r="H13" i="19"/>
  <c r="AD16" i="19"/>
  <c r="C19" i="19"/>
  <c r="C21" i="19"/>
  <c r="AD22" i="19"/>
  <c r="P27" i="19"/>
  <c r="AD27" i="19" s="1"/>
  <c r="AD28" i="19"/>
  <c r="C33" i="19"/>
  <c r="N34" i="19"/>
  <c r="C46" i="19"/>
  <c r="C54" i="19"/>
  <c r="P55" i="19"/>
  <c r="N55" i="19" s="1"/>
  <c r="C72" i="19"/>
  <c r="N73" i="19"/>
  <c r="C75" i="19"/>
  <c r="AB79" i="19"/>
  <c r="C81" i="19"/>
  <c r="N94" i="19"/>
  <c r="C96" i="19"/>
  <c r="C99" i="19"/>
  <c r="AB113" i="19"/>
  <c r="E39" i="18"/>
  <c r="G13" i="19"/>
  <c r="C25" i="19"/>
  <c r="E31" i="19"/>
  <c r="AD31" i="19" s="1"/>
  <c r="C35" i="19"/>
  <c r="C38" i="19"/>
  <c r="C42" i="19"/>
  <c r="N47" i="19"/>
  <c r="N52" i="19"/>
  <c r="C63" i="19"/>
  <c r="C68" i="19"/>
  <c r="N69" i="19"/>
  <c r="N76" i="19"/>
  <c r="E83" i="19"/>
  <c r="AD89" i="19"/>
  <c r="N96" i="19"/>
  <c r="N99" i="19"/>
  <c r="AD106" i="19"/>
  <c r="N116" i="19"/>
  <c r="V12" i="19"/>
  <c r="N15" i="19"/>
  <c r="N16" i="19"/>
  <c r="P21" i="19"/>
  <c r="N22" i="19"/>
  <c r="C24" i="19"/>
  <c r="AD26" i="19"/>
  <c r="C28" i="19"/>
  <c r="C37" i="19"/>
  <c r="AD40" i="19"/>
  <c r="N46" i="19"/>
  <c r="C48" i="19"/>
  <c r="C51" i="19"/>
  <c r="N54" i="19"/>
  <c r="C56" i="19"/>
  <c r="C65" i="19"/>
  <c r="AD72" i="19"/>
  <c r="N75" i="19"/>
  <c r="N78" i="19"/>
  <c r="N81" i="19"/>
  <c r="N86" i="19"/>
  <c r="C88" i="19"/>
  <c r="C90" i="19"/>
  <c r="F44" i="18"/>
  <c r="P14" i="19"/>
  <c r="C17" i="19"/>
  <c r="P19" i="19"/>
  <c r="P20" i="19"/>
  <c r="P25" i="19"/>
  <c r="D13" i="19"/>
  <c r="C29" i="19"/>
  <c r="C30" i="19"/>
  <c r="N39" i="19"/>
  <c r="E44" i="19"/>
  <c r="AD49" i="19"/>
  <c r="C58" i="19"/>
  <c r="C67" i="19"/>
  <c r="N71" i="19"/>
  <c r="C77" i="19"/>
  <c r="C85" i="19"/>
  <c r="AB95" i="19"/>
  <c r="C98" i="19"/>
  <c r="F103" i="19"/>
  <c r="AD107" i="19"/>
  <c r="AD110" i="19"/>
  <c r="AD18" i="19"/>
  <c r="AD30" i="19"/>
  <c r="AD32" i="19"/>
  <c r="N35" i="19"/>
  <c r="N42" i="19"/>
  <c r="C50" i="19"/>
  <c r="C60" i="19"/>
  <c r="C70" i="19"/>
  <c r="C80" i="19"/>
  <c r="N83" i="19"/>
  <c r="C92" i="19"/>
  <c r="X91" i="19"/>
  <c r="AB101" i="19"/>
  <c r="C104" i="19"/>
  <c r="C108" i="19"/>
  <c r="AB114" i="19"/>
  <c r="D21" i="1"/>
  <c r="E23" i="1"/>
  <c r="C11" i="18"/>
  <c r="E30" i="18"/>
  <c r="E35" i="18"/>
  <c r="F38" i="18"/>
  <c r="F35" i="18"/>
  <c r="F9" i="18"/>
  <c r="F40" i="18"/>
  <c r="E44" i="18"/>
  <c r="T11" i="19"/>
  <c r="N112" i="19"/>
  <c r="AB112" i="19" s="1"/>
  <c r="E20" i="18"/>
  <c r="D12" i="18"/>
  <c r="C34" i="19"/>
  <c r="AD34" i="19"/>
  <c r="C83" i="19"/>
  <c r="AD83" i="19"/>
  <c r="N21" i="19"/>
  <c r="AD21" i="19"/>
  <c r="AC13" i="19"/>
  <c r="O12" i="19"/>
  <c r="N25" i="19"/>
  <c r="AD25" i="19"/>
  <c r="D12" i="19"/>
  <c r="N41" i="19"/>
  <c r="AD41" i="19"/>
  <c r="AB70" i="19"/>
  <c r="F13" i="19"/>
  <c r="AD15" i="19"/>
  <c r="AD19" i="19"/>
  <c r="AC24" i="19"/>
  <c r="AD29" i="19"/>
  <c r="AD42" i="19"/>
  <c r="AC90" i="19"/>
  <c r="AD23" i="19"/>
  <c r="AD57" i="19"/>
  <c r="N57" i="19"/>
  <c r="AD61" i="19"/>
  <c r="N61" i="19"/>
  <c r="R13" i="19"/>
  <c r="K13" i="19"/>
  <c r="AD48" i="19"/>
  <c r="AD52" i="19"/>
  <c r="AD56" i="19"/>
  <c r="N56" i="19"/>
  <c r="AD58" i="19"/>
  <c r="N58" i="19"/>
  <c r="AD60" i="19"/>
  <c r="N60" i="19"/>
  <c r="AD62" i="19"/>
  <c r="N62" i="19"/>
  <c r="AD64" i="19"/>
  <c r="N64" i="19"/>
  <c r="AD66" i="19"/>
  <c r="N66" i="19"/>
  <c r="AD69" i="19"/>
  <c r="AD70" i="19"/>
  <c r="AB93" i="19"/>
  <c r="AD109" i="19"/>
  <c r="AD59" i="19"/>
  <c r="N59" i="19"/>
  <c r="AD63" i="19"/>
  <c r="N63" i="19"/>
  <c r="AD65" i="19"/>
  <c r="N65" i="19"/>
  <c r="AD14" i="19"/>
  <c r="AD20" i="19"/>
  <c r="AD35" i="19"/>
  <c r="C39" i="19"/>
  <c r="C45" i="19"/>
  <c r="AD47" i="19"/>
  <c r="C49" i="19"/>
  <c r="AD51" i="19"/>
  <c r="C53" i="19"/>
  <c r="N68" i="19"/>
  <c r="C74" i="19"/>
  <c r="C78" i="19"/>
  <c r="N80" i="19"/>
  <c r="C87" i="19"/>
  <c r="N88" i="19"/>
  <c r="K91" i="19"/>
  <c r="U91" i="19"/>
  <c r="U12" i="19" s="1"/>
  <c r="AD104" i="19"/>
  <c r="C27" i="18"/>
  <c r="E29" i="18"/>
  <c r="E37" i="18"/>
  <c r="E38" i="18"/>
  <c r="E28" i="18"/>
  <c r="E36" i="18"/>
  <c r="I12" i="17"/>
  <c r="K15" i="17"/>
  <c r="I15" i="17"/>
  <c r="K81" i="17"/>
  <c r="K9" i="17"/>
  <c r="I16" i="17"/>
  <c r="K16" i="17"/>
  <c r="I19" i="17"/>
  <c r="K19" i="17"/>
  <c r="J37" i="17"/>
  <c r="K10" i="17"/>
  <c r="K11" i="17"/>
  <c r="I10" i="17"/>
  <c r="I9" i="17"/>
  <c r="K12" i="17"/>
  <c r="J75" i="17"/>
  <c r="J21" i="17"/>
  <c r="K14" i="17"/>
  <c r="K21" i="17"/>
  <c r="K24" i="17"/>
  <c r="I30" i="17"/>
  <c r="K31" i="17"/>
  <c r="K33" i="17"/>
  <c r="K80" i="17"/>
  <c r="J81" i="17"/>
  <c r="K90" i="17"/>
  <c r="K91" i="17"/>
  <c r="K93" i="17"/>
  <c r="K29" i="17"/>
  <c r="K95" i="17"/>
  <c r="AD43" i="19" l="1"/>
  <c r="N17" i="19"/>
  <c r="N13" i="19" s="1"/>
  <c r="P13" i="19"/>
  <c r="AD13" i="19" s="1"/>
  <c r="N27" i="19"/>
  <c r="E13" i="19"/>
  <c r="U11" i="19"/>
  <c r="C91" i="19"/>
  <c r="AB53" i="19"/>
  <c r="AB54" i="19"/>
  <c r="G12" i="19"/>
  <c r="C109" i="19"/>
  <c r="AB100" i="19"/>
  <c r="AB37" i="19"/>
  <c r="AB28" i="19"/>
  <c r="AB26" i="19"/>
  <c r="AB62" i="19"/>
  <c r="F12" i="19"/>
  <c r="C13" i="19"/>
  <c r="AB75" i="19"/>
  <c r="AB99" i="19"/>
  <c r="AD55" i="19"/>
  <c r="AB33" i="19"/>
  <c r="N36" i="19"/>
  <c r="AB51" i="19"/>
  <c r="AB49" i="19"/>
  <c r="AB17" i="19"/>
  <c r="N20" i="19"/>
  <c r="AB16" i="19"/>
  <c r="AB98" i="19"/>
  <c r="AB80" i="19"/>
  <c r="AB65" i="19"/>
  <c r="AB25" i="19"/>
  <c r="AB21" i="19"/>
  <c r="N19" i="19"/>
  <c r="AB96" i="19"/>
  <c r="AB67" i="19"/>
  <c r="AB50" i="19"/>
  <c r="AB30" i="19"/>
  <c r="Q12" i="19"/>
  <c r="AB48" i="19"/>
  <c r="AB60" i="19"/>
  <c r="AB78" i="19"/>
  <c r="AB45" i="19"/>
  <c r="R12" i="19"/>
  <c r="AB27" i="19"/>
  <c r="AB71" i="19"/>
  <c r="AB15" i="19"/>
  <c r="AB116" i="19"/>
  <c r="AB52" i="19"/>
  <c r="C31" i="19"/>
  <c r="AB110" i="19"/>
  <c r="AD44" i="19"/>
  <c r="AB40" i="19"/>
  <c r="AB74" i="19"/>
  <c r="AB39" i="19"/>
  <c r="AB63" i="19"/>
  <c r="AB66" i="19"/>
  <c r="AB58" i="19"/>
  <c r="AB61" i="19"/>
  <c r="AB83" i="19"/>
  <c r="AB42" i="19"/>
  <c r="AB46" i="19"/>
  <c r="AB94" i="19"/>
  <c r="AB73" i="19"/>
  <c r="AB69" i="19"/>
  <c r="AB29" i="19"/>
  <c r="AB92" i="19"/>
  <c r="AB68" i="19"/>
  <c r="AB41" i="19"/>
  <c r="E12" i="19"/>
  <c r="N14" i="19"/>
  <c r="AB22" i="19"/>
  <c r="V11" i="19"/>
  <c r="AB76" i="19"/>
  <c r="AB47" i="19"/>
  <c r="AB97" i="19"/>
  <c r="C44" i="19"/>
  <c r="F20" i="18"/>
  <c r="AB24" i="19"/>
  <c r="N91" i="19"/>
  <c r="AB91" i="19" s="1"/>
  <c r="AB55" i="19"/>
  <c r="AB59" i="19"/>
  <c r="AB64" i="19"/>
  <c r="AB56" i="19"/>
  <c r="AB57" i="19"/>
  <c r="AB34" i="19"/>
  <c r="X12" i="19"/>
  <c r="AB35" i="19"/>
  <c r="AB72" i="19"/>
  <c r="H12" i="19"/>
  <c r="N23" i="19"/>
  <c r="AB77" i="19"/>
  <c r="AB90" i="19"/>
  <c r="AD38" i="19"/>
  <c r="N38" i="19"/>
  <c r="E103" i="19"/>
  <c r="F27" i="18"/>
  <c r="J15" i="18"/>
  <c r="C10" i="18"/>
  <c r="C8" i="18" s="1"/>
  <c r="E12" i="18"/>
  <c r="F12" i="18"/>
  <c r="D11" i="18"/>
  <c r="O11" i="19"/>
  <c r="AC12" i="19"/>
  <c r="K12" i="19"/>
  <c r="D11" i="19"/>
  <c r="E27" i="18"/>
  <c r="I81" i="17"/>
  <c r="I23" i="17"/>
  <c r="K23" i="17"/>
  <c r="K77" i="17"/>
  <c r="J10" i="17"/>
  <c r="K70" i="17"/>
  <c r="I84" i="17"/>
  <c r="J69" i="17"/>
  <c r="K17" i="17"/>
  <c r="I17" i="17"/>
  <c r="P12" i="19" l="1"/>
  <c r="K11" i="19"/>
  <c r="H11" i="19"/>
  <c r="Q11" i="19"/>
  <c r="AB20" i="19"/>
  <c r="AB36" i="19"/>
  <c r="AB31" i="19"/>
  <c r="AB19" i="19"/>
  <c r="AB14" i="19"/>
  <c r="F11" i="19"/>
  <c r="E11" i="19"/>
  <c r="C12" i="19"/>
  <c r="C103" i="19"/>
  <c r="AD103" i="19"/>
  <c r="AB23" i="19"/>
  <c r="X11" i="19"/>
  <c r="R11" i="19"/>
  <c r="AB38" i="19"/>
  <c r="AB44" i="19"/>
  <c r="G11" i="19"/>
  <c r="E11" i="18"/>
  <c r="D10" i="18"/>
  <c r="F11" i="18"/>
  <c r="N12" i="19"/>
  <c r="AB13" i="19"/>
  <c r="AG10" i="19"/>
  <c r="AC11" i="19"/>
  <c r="AD12" i="19"/>
  <c r="P11" i="19"/>
  <c r="J9" i="17"/>
  <c r="I75" i="17"/>
  <c r="I69" i="17"/>
  <c r="K36" i="17"/>
  <c r="J36" i="17"/>
  <c r="K69" i="17"/>
  <c r="K75" i="17"/>
  <c r="C11" i="19" l="1"/>
  <c r="AD11" i="19"/>
  <c r="D8" i="18"/>
  <c r="E10" i="18"/>
  <c r="E8" i="18" s="1"/>
  <c r="F10" i="18"/>
  <c r="AB12" i="19"/>
  <c r="N11" i="19"/>
  <c r="J32" i="17"/>
  <c r="K32" i="17"/>
  <c r="G4" i="17"/>
  <c r="H10" i="18" l="1"/>
  <c r="H8" i="18"/>
  <c r="H7" i="18"/>
  <c r="H11" i="18"/>
  <c r="I11" i="18" s="1"/>
  <c r="F8" i="18"/>
  <c r="N6" i="19"/>
  <c r="AB11" i="19"/>
  <c r="J8" i="17"/>
  <c r="K8" i="17"/>
  <c r="D39" i="1" l="1"/>
  <c r="C39" i="1"/>
  <c r="E15" i="1"/>
  <c r="E16" i="1"/>
  <c r="E17" i="1"/>
  <c r="E37" i="1" l="1"/>
  <c r="E38" i="1"/>
  <c r="E40" i="1"/>
  <c r="E41" i="1"/>
  <c r="E43" i="1"/>
  <c r="E44" i="1"/>
  <c r="E45" i="1"/>
  <c r="E42" i="1"/>
  <c r="E39" i="1" l="1"/>
  <c r="D12" i="1" l="1"/>
  <c r="C12" i="1"/>
  <c r="C9" i="1"/>
  <c r="D9" i="1"/>
  <c r="D8" i="1" l="1"/>
  <c r="S20" i="6"/>
  <c r="S19" i="6"/>
  <c r="S18" i="6"/>
  <c r="S17" i="6"/>
  <c r="S16" i="6"/>
  <c r="S15" i="6"/>
  <c r="S14" i="6"/>
  <c r="S12" i="6"/>
  <c r="S11" i="6"/>
  <c r="S10" i="6" l="1"/>
  <c r="E25" i="1" l="1"/>
  <c r="E26" i="1"/>
  <c r="E27" i="1"/>
  <c r="E28" i="1"/>
  <c r="E36" i="1" l="1"/>
  <c r="C33" i="1" l="1"/>
  <c r="C21" i="1" s="1"/>
  <c r="C8" i="1"/>
  <c r="E10" i="1" l="1"/>
  <c r="E11" i="1"/>
  <c r="E12" i="1"/>
  <c r="E13" i="1"/>
  <c r="E14" i="1"/>
  <c r="E21" i="1"/>
  <c r="E22" i="1"/>
  <c r="E24" i="1"/>
  <c r="E33" i="1"/>
  <c r="E34" i="1"/>
  <c r="E35" i="1"/>
  <c r="E9" i="1"/>
  <c r="E8"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A114" authorId="0" shapeId="0" xr:uid="{B6D9BCC5-7290-41A8-8497-5FE636EED9F7}">
      <text>
        <r>
          <rPr>
            <b/>
            <sz val="9"/>
            <color indexed="81"/>
            <rFont val="Tahoma"/>
            <family val="2"/>
          </rPr>
          <t xml:space="preserve">Author:
</t>
        </r>
      </text>
    </comment>
    <comment ref="A115" authorId="0" shapeId="0" xr:uid="{606BBA41-A09E-4CA8-AB0D-E5DCCE05AAF4}">
      <text>
        <r>
          <rPr>
            <b/>
            <sz val="9"/>
            <color indexed="81"/>
            <rFont val="Tahoma"/>
            <family val="2"/>
          </rPr>
          <t xml:space="preserve">Author: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A117" authorId="0" shapeId="0" xr:uid="{00000000-0006-0000-0900-000001000000}">
      <text>
        <r>
          <rPr>
            <b/>
            <sz val="9"/>
            <color indexed="81"/>
            <rFont val="Tahoma"/>
            <family val="2"/>
          </rPr>
          <t xml:space="preserve">Author:
</t>
        </r>
      </text>
    </comment>
  </commentList>
</comments>
</file>

<file path=xl/sharedStrings.xml><?xml version="1.0" encoding="utf-8"?>
<sst xmlns="http://schemas.openxmlformats.org/spreadsheetml/2006/main" count="1441" uniqueCount="709">
  <si>
    <t>Biểu số 62/CK-NSNN</t>
  </si>
  <si>
    <t>Đơn vị: Triệu đồng</t>
  </si>
  <si>
    <t>STT</t>
  </si>
  <si>
    <t>NỘI DUNG</t>
  </si>
  <si>
    <t xml:space="preserve">DỰ TOÁN </t>
  </si>
  <si>
    <t>QUYẾT TOÁN</t>
  </si>
  <si>
    <t>SO SÁNH (%)</t>
  </si>
  <si>
    <t>A</t>
  </si>
  <si>
    <t>B</t>
  </si>
  <si>
    <t>3=2/1</t>
  </si>
  <si>
    <t>TỔNG NGUỒN THU NSĐP</t>
  </si>
  <si>
    <t>Thu ngân sách địa phương được hưởng theo phân cấp</t>
  </si>
  <si>
    <t>-</t>
  </si>
  <si>
    <t>Thu NSĐP được hưởng 100%</t>
  </si>
  <si>
    <t xml:space="preserve">Thu NSĐP hưởng từ các khoản thu phân chia </t>
  </si>
  <si>
    <t>Thu bổ sung từ NSTW</t>
  </si>
  <si>
    <t>Thu bổ sung cân đối</t>
  </si>
  <si>
    <t>Thu bổ sung có mục tiêu</t>
  </si>
  <si>
    <t>Thu từ quỹ dự trữ tài chính</t>
  </si>
  <si>
    <t>Thu chuyển nguồn từ năm trước chuyển sang</t>
  </si>
  <si>
    <t>TỔNG CHI NSĐP</t>
  </si>
  <si>
    <t>Chi đầu tư phát triển</t>
  </si>
  <si>
    <t>Chi thường xuyên</t>
  </si>
  <si>
    <t>Chi bổ sung quỹ dự trữ tài chính</t>
  </si>
  <si>
    <t>Dự phòng ngân sách</t>
  </si>
  <si>
    <t>II</t>
  </si>
  <si>
    <t>Chi các chương trình mục tiêu</t>
  </si>
  <si>
    <t>Chi các chương trình mục tiêu quốc gia</t>
  </si>
  <si>
    <t>Chi các chương trình mục tiêu, nhiệm vụ</t>
  </si>
  <si>
    <t>III</t>
  </si>
  <si>
    <t>Chi chuyển nguồn sang năm sau</t>
  </si>
  <si>
    <t>C</t>
  </si>
  <si>
    <t>D</t>
  </si>
  <si>
    <t>E</t>
  </si>
  <si>
    <t>Biểu số 63/CK-NSNN</t>
  </si>
  <si>
    <t>DỰ TOÁN</t>
  </si>
  <si>
    <t>5=3/1</t>
  </si>
  <si>
    <t>6=4/2</t>
  </si>
  <si>
    <t>TỔNG THU CÂN ĐỐI NSNN</t>
  </si>
  <si>
    <t>I</t>
  </si>
  <si>
    <t>Thu nội địa</t>
  </si>
  <si>
    <t>Thuế thu nhập cá nhân</t>
  </si>
  <si>
    <t>Thuế bảo vệ môi trường</t>
  </si>
  <si>
    <t>Lệ phí trước bạ</t>
  </si>
  <si>
    <t>Thuế sử dụng đất nông nghiệp</t>
  </si>
  <si>
    <t>Thuế sử dụng đất phi nông nghiệp</t>
  </si>
  <si>
    <t>Tiền cho thuê đất, thuê mặt nước</t>
  </si>
  <si>
    <t>Thu tiền sử dụng đất</t>
  </si>
  <si>
    <t>Tiền cho thuê và tiền bán nhà ở thuộc sở hữu nhà nước</t>
  </si>
  <si>
    <t>Thu tiền cấp quyền khai thác khoáng sản</t>
  </si>
  <si>
    <t>Thu khác ngân sách</t>
  </si>
  <si>
    <t>Thu từ quỹ đất công ích, hoa lợi công sản khác</t>
  </si>
  <si>
    <t>Thu từ dầu thô</t>
  </si>
  <si>
    <t>Thuế xuất khẩu</t>
  </si>
  <si>
    <t>Thuế nhập khẩu</t>
  </si>
  <si>
    <t>Thu khác</t>
  </si>
  <si>
    <t>IV</t>
  </si>
  <si>
    <t>THU KẾT DƯ NĂM TRƯỚC</t>
  </si>
  <si>
    <t>THU CHUYỂN NGUỒN TỪ NĂM TRƯỚC CHUYỂN SANG</t>
  </si>
  <si>
    <t>Biểu số 64/CK-NSNN</t>
  </si>
  <si>
    <t>1=2+3</t>
  </si>
  <si>
    <t>4=5+6</t>
  </si>
  <si>
    <t>7=4/1</t>
  </si>
  <si>
    <t>8=5/2</t>
  </si>
  <si>
    <t>9=6/3</t>
  </si>
  <si>
    <t>CHI CÂN ĐỐI NSĐP</t>
  </si>
  <si>
    <t>Chi đầu tư cho các dự án</t>
  </si>
  <si>
    <t>Chi giáo dục - đào tạo và dạy nghề</t>
  </si>
  <si>
    <t>Chi khoa học và công nghệ</t>
  </si>
  <si>
    <t>Chi đầu tư từ nguồn thu tiền sử dụng đất</t>
  </si>
  <si>
    <t>Chi đầu tư từ nguồn thu xổ số kiến thiết</t>
  </si>
  <si>
    <t>Chi đầu tư phát triển khác</t>
  </si>
  <si>
    <t>Trong đó:</t>
  </si>
  <si>
    <t>V</t>
  </si>
  <si>
    <t>VI</t>
  </si>
  <si>
    <t>CHI CÁC CHƯƠNG TRÌNH MỤC TIÊU</t>
  </si>
  <si>
    <t>CHI CHUYỂN NGUỒN SANG NĂM SAU</t>
  </si>
  <si>
    <t>Biểu số 65/CK-NSNN</t>
  </si>
  <si>
    <t>1.1</t>
  </si>
  <si>
    <t>1.2</t>
  </si>
  <si>
    <t>1.3</t>
  </si>
  <si>
    <t>Chi y tế, dân số và gia đình</t>
  </si>
  <si>
    <t>1.4</t>
  </si>
  <si>
    <t>Chi văn hóa thông tin</t>
  </si>
  <si>
    <t>1.5</t>
  </si>
  <si>
    <t>Chi phát thanh, truyền hình, thông tấn</t>
  </si>
  <si>
    <t>1.6</t>
  </si>
  <si>
    <t>Chi thể dục thể thao</t>
  </si>
  <si>
    <t>1.7</t>
  </si>
  <si>
    <t>Chi bảo vệ môi trường</t>
  </si>
  <si>
    <t>1.8</t>
  </si>
  <si>
    <t>Chi các hoạt động kinh tế</t>
  </si>
  <si>
    <t>1.9</t>
  </si>
  <si>
    <t>Chi hoạt động của cơ quan quản lý nhà nước, đảng, đoàn thể</t>
  </si>
  <si>
    <t>1.10</t>
  </si>
  <si>
    <t>Chi bảo đảm xã hội</t>
  </si>
  <si>
    <t>Biểu số 66/CK-NSNN</t>
  </si>
  <si>
    <t>TÊN ĐƠN VỊ</t>
  </si>
  <si>
    <t>TỔNG SỐ</t>
  </si>
  <si>
    <t>CHI ĐẦU TƯ PHÁT TRIỂN (KHÔNG KỂ CHƯƠNG TRÌNH MTQG)</t>
  </si>
  <si>
    <t>CHI THƯỜNG XUYÊN (KHÔNG KỂ CHƯƠNG TRÌNH MTQG)</t>
  </si>
  <si>
    <t>CHI CHƯƠNG TRÌNH MTQG</t>
  </si>
  <si>
    <t>CHI CHUYỂN NGUỒN SANG NGÂN SÁCH NĂM SAU</t>
  </si>
  <si>
    <t>CHI ĐẦU TƯ PHÁT TRIỂN</t>
  </si>
  <si>
    <t>CHI THƯỜNG XUYÊN</t>
  </si>
  <si>
    <t>Biểu số 67/CK-NSNN</t>
  </si>
  <si>
    <t>Tên đơn vị</t>
  </si>
  <si>
    <t>Dự toán</t>
  </si>
  <si>
    <t>Quyết toán</t>
  </si>
  <si>
    <t>So sánh (%)</t>
  </si>
  <si>
    <t>Tổng số</t>
  </si>
  <si>
    <t>Bổ sung cân đối</t>
  </si>
  <si>
    <t>Bổ sung có mục tiêu</t>
  </si>
  <si>
    <t>Vốn đầu tư để thực hiện các chương trình mục tiêu, nhiệm vụ</t>
  </si>
  <si>
    <t>Vốn sự nghiệp để thực hiện các chế độ, chính sách, nhiệm vụ</t>
  </si>
  <si>
    <t>Vốn thực hiện các chương trình mục tiêu quốc gia</t>
  </si>
  <si>
    <t>13=7/1</t>
  </si>
  <si>
    <t>14=8/2</t>
  </si>
  <si>
    <t>15=9/3</t>
  </si>
  <si>
    <t>16=10/4</t>
  </si>
  <si>
    <t>17=11/5</t>
  </si>
  <si>
    <t>18=12/6</t>
  </si>
  <si>
    <t>Biểu số 68/CK-NSNN</t>
  </si>
  <si>
    <t>Nội dung</t>
  </si>
  <si>
    <t>Trong đó</t>
  </si>
  <si>
    <t>Đầu tư phát triển</t>
  </si>
  <si>
    <t>Kinh phí sự nghiệp</t>
  </si>
  <si>
    <t>Vốn trong nước</t>
  </si>
  <si>
    <t>Vốn ngoài nước</t>
  </si>
  <si>
    <t>Chương trình mục tiêu quốc gia xây dựng nông thôn mới</t>
  </si>
  <si>
    <t>Chương trình mục tiêu quốc gia giảm nghèo bền vững</t>
  </si>
  <si>
    <t>Ban Dân tộc</t>
  </si>
  <si>
    <t>Huyện Kon Rẫy</t>
  </si>
  <si>
    <t>Huyện Đăk Hà</t>
  </si>
  <si>
    <t>Thành phố Kon Tum</t>
  </si>
  <si>
    <t>Huyện Đăk Tô</t>
  </si>
  <si>
    <t xml:space="preserve">Huyện Ngọc Hồi </t>
  </si>
  <si>
    <t>Thu từ ngân sách cấp dưới nộp lên</t>
  </si>
  <si>
    <t>2.1</t>
  </si>
  <si>
    <t>2.2</t>
  </si>
  <si>
    <t>2.3</t>
  </si>
  <si>
    <t>6=7+8</t>
  </si>
  <si>
    <t>+</t>
  </si>
  <si>
    <t>3.1</t>
  </si>
  <si>
    <t>3.2</t>
  </si>
  <si>
    <t>Vốn nước ngoài</t>
  </si>
  <si>
    <t xml:space="preserve"> Chi nộp ngân sách cấp trên</t>
  </si>
  <si>
    <t>Huyện Đăk Glei</t>
  </si>
  <si>
    <t>Huyện Tu Mơ Rông</t>
  </si>
  <si>
    <t>Huyện Ia H'Drai</t>
  </si>
  <si>
    <t xml:space="preserve">Dự toán </t>
  </si>
  <si>
    <t xml:space="preserve">Quyết toán </t>
  </si>
  <si>
    <t>1=2+..+6</t>
  </si>
  <si>
    <t>14=15+16</t>
  </si>
  <si>
    <t xml:space="preserve">      Đơn vị: Triệu đồng</t>
  </si>
  <si>
    <t xml:space="preserve">Chi đầu tư phát triển </t>
  </si>
  <si>
    <t>Thu NSĐP</t>
  </si>
  <si>
    <t>Văn phòng Điều phối NTM tỉnh</t>
  </si>
  <si>
    <t>Chi thường xuyên cấp DT</t>
  </si>
  <si>
    <t>Chi thường xuyên cấp Lệnh chi</t>
  </si>
  <si>
    <t>Sự nghiệp</t>
  </si>
  <si>
    <t>Đâu tư</t>
  </si>
  <si>
    <t>Vay của ngân sách địa phương</t>
  </si>
  <si>
    <t>Huyện Kon Plong</t>
  </si>
  <si>
    <t>Huyện Sa Thầy</t>
  </si>
  <si>
    <t>CHI TRẢ NỢ GỐC CỦA NSĐP</t>
  </si>
  <si>
    <t>Từ nguồn vay để trả nợ gốc</t>
  </si>
  <si>
    <t>Từ nguồn bội thu, tăng thu, tiết kiệm chi, kết dư ngân sách cấp tỉnh</t>
  </si>
  <si>
    <t>TỔNG MỨC VAY CỦA NSĐP</t>
  </si>
  <si>
    <t>Vay để bù đắp bội chi</t>
  </si>
  <si>
    <t>Vay để trả nợ gốc</t>
  </si>
  <si>
    <t>TỔNG MỨC DƯ NỢ VAY CUỐI NĂM CỦA NSĐP</t>
  </si>
  <si>
    <t>Đ</t>
  </si>
  <si>
    <t>Thuế tiêu thụ đặc biệt thu từ hàng hóa nhập khẩu</t>
  </si>
  <si>
    <t>Tổng thu NSNN</t>
  </si>
  <si>
    <t>TỔNG NGUỒN THU NSNN (A+B+C+D)</t>
  </si>
  <si>
    <t>Thuế giá trị gia tăng</t>
  </si>
  <si>
    <t>Thuế thu nhập doanh nghiệp</t>
  </si>
  <si>
    <t>Thuế tài nguyên</t>
  </si>
  <si>
    <t>Thuế tài nguyên nước</t>
  </si>
  <si>
    <t>Thuế tài nguyên khác</t>
  </si>
  <si>
    <t>Thuế tài nguyên rừng</t>
  </si>
  <si>
    <t>4.1</t>
  </si>
  <si>
    <t>4.2</t>
  </si>
  <si>
    <t>4.3</t>
  </si>
  <si>
    <t>Thuế TTĐB hàng nội địa</t>
  </si>
  <si>
    <t>4.4</t>
  </si>
  <si>
    <t xml:space="preserve">Thu phí, lệ phí </t>
  </si>
  <si>
    <t>Phí và lệ phí trung ương</t>
  </si>
  <si>
    <t>Phí và lệ phí tỉnh</t>
  </si>
  <si>
    <t>Phí và lệ phí huyện</t>
  </si>
  <si>
    <t>Phí và lệ phí xã, phường</t>
  </si>
  <si>
    <t>Thu từ hoạt động xổ số kiến thiết</t>
  </si>
  <si>
    <t xml:space="preserve">Thu từ hoạt động xuất nhập khẩu </t>
  </si>
  <si>
    <t>Thuế bảo vệ môi trường thu từ hàng hóa nhập khẩu</t>
  </si>
  <si>
    <t>Thuế giá trị gia tăng thu từ hàng hóa nhập khẩu</t>
  </si>
  <si>
    <t>Thu viện trợ, các khoản huy động, đóng góp</t>
  </si>
  <si>
    <t>Bao gồm</t>
  </si>
  <si>
    <t xml:space="preserve">Ngân sách cấp tỉnh </t>
  </si>
  <si>
    <t xml:space="preserve">Ngân sách huyện </t>
  </si>
  <si>
    <t>Ngân sách địa phương</t>
  </si>
  <si>
    <t>Trong đó: Chia theo nguồn vốn</t>
  </si>
  <si>
    <t>Chi đầu tư và hỗ trợ vốn cho các doanh nghiệp cung cấp sản phẩm, dịch vụ công ích do Nhà nước đặt hàng, các tổ chức kinh tế, các tổ chức tài chính của địa phương theo quy định của pháp luật</t>
  </si>
  <si>
    <t>Chương trình MTQG NTM</t>
  </si>
  <si>
    <t>Chương trình MTQG giảm nghèo bền vững</t>
  </si>
  <si>
    <t xml:space="preserve">Chi các chương trình mục tiêu, nhiệm vụ </t>
  </si>
  <si>
    <t>II.1</t>
  </si>
  <si>
    <t>Bổ sung vốn đầu tư</t>
  </si>
  <si>
    <t>II.2</t>
  </si>
  <si>
    <t xml:space="preserve">Bổ sung mục tiêu vốn sự nghiệp </t>
  </si>
  <si>
    <t xml:space="preserve">Học bổng học sinh dân tộc nội trú; học bổng và phương tiện học tập cho học sinh khuyết tật; hỗ trợ chi phí học tập cho sinh viên dân tộc thiểu số thuộc hộ nghèo, hộ cận nghèo; chính sách nội trú đối với học sinh, sinh viên học cao đẳng, trung cấp </t>
  </si>
  <si>
    <t>Học bổng học sinh dân tộc nội trú</t>
  </si>
  <si>
    <t>Học bổng và phương tiện học tập cho học sinh khuyết tật TTLT 42</t>
  </si>
  <si>
    <t xml:space="preserve">Chính sách nội trú đối với học sinh, sinh viên học cao đẳng, trung cấp </t>
  </si>
  <si>
    <t>Hỗ trợ kinh phí đào tạo cán bộ quân sự cấp xã</t>
  </si>
  <si>
    <t>Kinh phí thực hiện đề án giảm thiểu hôn nhân cận huyết thống</t>
  </si>
  <si>
    <t>Hỗ trợ kinh phí mua thẻ BHYT người nghèo, người sống ở vùng kinh tế xã hội ĐBKK, người dân tộc thiểu số sống ở vùng KT-XH khó khăn</t>
  </si>
  <si>
    <t>Hỗ trợ kinh phí mua thẻ BHYT cho trẻ em dưới 6 tuổi</t>
  </si>
  <si>
    <t>Hỗ trợ kinh phí mua thẻ BHYT cho các đối tượng cựu chiến binh, thanh niên xung phong</t>
  </si>
  <si>
    <t>Hỗ trợ kinh phí mua thẻ BHYT cho các đối tượng bảo trợ xã hội</t>
  </si>
  <si>
    <t>Hỗ trợ kinh phí mua thẻ BHYT cho các đối tượng học sinh, sinh viên (Cấp KP trực tiếp về BHXH tỉnh)</t>
  </si>
  <si>
    <t>Hỗ trợ thực hiện chính sách đối với đối tượng bảo trợ xã hội theo NĐ 136</t>
  </si>
  <si>
    <t xml:space="preserve"> Hỗ trợ tiền điện hộ nghèo, hộ chính sách xã hội</t>
  </si>
  <si>
    <t>Hỗ trợ chính sách đối với người có uy tín trong đồng bào dân tộc thiểu số</t>
  </si>
  <si>
    <t>Hỗ trợ tổ chức đơn vị sử dụng lao động là người dân tộc thiểu số</t>
  </si>
  <si>
    <t>Chương trình mục tiêu ứng phó với biến đổi khí hậu và tăng trưởng xanh</t>
  </si>
  <si>
    <t>CHI NỘP TRẢ NGÂN SÁCH CẤP TRÊN</t>
  </si>
  <si>
    <t>Chi thường xuyên (không kể chương trình MTQG va TƯ BSMT vốn sự nghiệp)</t>
  </si>
  <si>
    <t>TƯ BSMT vốn sự nghiệp</t>
  </si>
  <si>
    <t>Thu kết dư năm trước</t>
  </si>
  <si>
    <t>Thu huy động, đóng góp</t>
  </si>
  <si>
    <t>Chi trả nợ gốc, lãi các khoản do chính quyền địa phương vay</t>
  </si>
  <si>
    <t>Trong đó: - Thuế BVMT thu từ hàng hóa sản xuất, kinh doanh trong nước</t>
  </si>
  <si>
    <t xml:space="preserve">                   - Thuế BVMT thu từ hàng hóa nhập khẩu</t>
  </si>
  <si>
    <t>(Chi tiết theo sắc thuế)</t>
  </si>
  <si>
    <t>Tăng thu từ các dự án khai thác quỹ đất so với dự toán Trung ương giao (phân bổ chi đầu tư các dự án, nhiệm vụ theo tiến độ nguồn thu thực tế)</t>
  </si>
  <si>
    <t>*</t>
  </si>
  <si>
    <t>Đất dự án khu trung tâm phường Ngô Mây, thành phố Kon Tum (1449)</t>
  </si>
  <si>
    <t>VAY CỦA NGÂN SÁCH ĐỊA PHƯƠNG</t>
  </si>
  <si>
    <t>Địa phương vay từ nguồn cho vay lại của Chính phủ</t>
  </si>
  <si>
    <t>TỔNG CHI NGÂN SÁCH ĐỊA PHƯƠNG (BAO GỒM BỘI CHI NSĐP)</t>
  </si>
  <si>
    <t>A.1</t>
  </si>
  <si>
    <t>A.2</t>
  </si>
  <si>
    <t>Chi từ nguồn bội chi NSĐP</t>
  </si>
  <si>
    <t xml:space="preserve"> -</t>
  </si>
  <si>
    <t>Dự án  an ninh y tế khu vực tiểu vùng Mê Kông mở rộng, thực hiện ghi thu ghi chi theo tiến độ giải ngân và trong phạm vi dự toán được giao.</t>
  </si>
  <si>
    <t>Chương trình mở rộng quy mô vệ sinh nước sạch nông thôn theo phương thức dựa trên kết quả, thực hiện ghi thu ghi chi theo tiến độ giải ngân và trong phạm vi dự toán được giao.</t>
  </si>
  <si>
    <t>Hỗ trợ Liên hiệp Phụ nữ</t>
  </si>
  <si>
    <t>Kinh phí hỗ trợ an ninh, quốc phòng</t>
  </si>
  <si>
    <t>CHI NỘP NGÂN SÁCH CẤP TRÊN</t>
  </si>
  <si>
    <t>Chi ngân sách cấp tỉnh</t>
  </si>
  <si>
    <t>Chi ngân sách huyện</t>
  </si>
  <si>
    <t>ĐVT: Triệu đồng</t>
  </si>
  <si>
    <t xml:space="preserve">TỔNG SỐ </t>
  </si>
  <si>
    <t xml:space="preserve">CHI TRẢ NỢ LÃI, GỐC VAY </t>
  </si>
  <si>
    <t xml:space="preserve">CHI NỘP TRẢ NGÂN SÁCH CẤP TRÊN </t>
  </si>
  <si>
    <t>CÁC CƠ QUAN, TỔ CHỨC</t>
  </si>
  <si>
    <t>I.1</t>
  </si>
  <si>
    <t>CÁC CƠ QUAN, TỔ CHỨC KHỐI TỈNH</t>
  </si>
  <si>
    <t>1</t>
  </si>
  <si>
    <t>Sở NN và PT nông thôn và các đơn vị trực thuộc</t>
  </si>
  <si>
    <t>2</t>
  </si>
  <si>
    <t>Sở GTVT và các đơn vị trực thuộc</t>
  </si>
  <si>
    <t>3</t>
  </si>
  <si>
    <t>Sở Xây dựng và các đơn vị trực thuộc</t>
  </si>
  <si>
    <t>4</t>
  </si>
  <si>
    <t>Sở Tài  nguyên MT và các ĐV trực thuộc</t>
  </si>
  <si>
    <t>5</t>
  </si>
  <si>
    <t>Sở Công Thương và các ĐV trực thuộc</t>
  </si>
  <si>
    <t>6</t>
  </si>
  <si>
    <t>Ngành giáo dục - Đào tạo ngành Giáo dục</t>
  </si>
  <si>
    <t>7</t>
  </si>
  <si>
    <t>Ngành Y tế</t>
  </si>
  <si>
    <t>8</t>
  </si>
  <si>
    <t>9</t>
  </si>
  <si>
    <t>Sở LĐ TB-XH và các đơn vị trực thuộc</t>
  </si>
  <si>
    <t>10</t>
  </si>
  <si>
    <t>Sở Tư pháp và các đơn vị trực thuộc</t>
  </si>
  <si>
    <t>11</t>
  </si>
  <si>
    <t>VP Tỉnh Uỷ và các đơn vị trực thuộc Tỉnh Uỷ</t>
  </si>
  <si>
    <t>12</t>
  </si>
  <si>
    <t>Sở Kh. học và CN và các ĐV trực thuộc</t>
  </si>
  <si>
    <t>13</t>
  </si>
  <si>
    <t>Tỉnh đoàn và các đơn vị trực thuộc</t>
  </si>
  <si>
    <t>14</t>
  </si>
  <si>
    <t>Sở Thông tin và truyền thông</t>
  </si>
  <si>
    <t>15</t>
  </si>
  <si>
    <t xml:space="preserve">Ban QL Khu Kinh tế  </t>
  </si>
  <si>
    <t>16</t>
  </si>
  <si>
    <t>Sở Nội vụ</t>
  </si>
  <si>
    <t>17</t>
  </si>
  <si>
    <t>Đài phát thanh - Truyền hình</t>
  </si>
  <si>
    <t>18</t>
  </si>
  <si>
    <t>19</t>
  </si>
  <si>
    <t>Sở Ngọai vụ</t>
  </si>
  <si>
    <t>20</t>
  </si>
  <si>
    <t>21</t>
  </si>
  <si>
    <t>VP Đoàn ĐBQH và  HĐND tỉnh</t>
  </si>
  <si>
    <t>22</t>
  </si>
  <si>
    <t>23</t>
  </si>
  <si>
    <t>Sở Kế hoạch  và Đầu tư</t>
  </si>
  <si>
    <t>24</t>
  </si>
  <si>
    <t>Sở Tài chính</t>
  </si>
  <si>
    <t>25</t>
  </si>
  <si>
    <t>VP Uỷ ban nhân dân tỉnh</t>
  </si>
  <si>
    <t>26</t>
  </si>
  <si>
    <t>Hội Cựu chiến binh</t>
  </si>
  <si>
    <t>27</t>
  </si>
  <si>
    <t>Hội Nông dân</t>
  </si>
  <si>
    <t>28</t>
  </si>
  <si>
    <t>Uỷ ban mặt trận tổ quốc</t>
  </si>
  <si>
    <t>29</t>
  </si>
  <si>
    <t>Hội liên hiệp phụ nữ tỉnh</t>
  </si>
  <si>
    <t>30</t>
  </si>
  <si>
    <t>Bộ chỉ huy BP; Quân sự, Công an tỉnh</t>
  </si>
  <si>
    <t>31</t>
  </si>
  <si>
    <t>32</t>
  </si>
  <si>
    <t>Hội nạn nhân ảnh hưởng chất độc da cam dioxin</t>
  </si>
  <si>
    <t>33</t>
  </si>
  <si>
    <t>Hội người tàn tật và trẻ em mồ côi</t>
  </si>
  <si>
    <t>34</t>
  </si>
  <si>
    <t>Hội khuyến học</t>
  </si>
  <si>
    <t>35</t>
  </si>
  <si>
    <t>Ban liên lạc tù chính trị</t>
  </si>
  <si>
    <t>36</t>
  </si>
  <si>
    <t>Hội nhà báo</t>
  </si>
  <si>
    <t>37</t>
  </si>
  <si>
    <t>Hội liên hiệp KH và kỹ thuật và các Hội thành viên</t>
  </si>
  <si>
    <t>38</t>
  </si>
  <si>
    <t>Hội Cựu Thanh niên xung phong</t>
  </si>
  <si>
    <t>39</t>
  </si>
  <si>
    <t>Hội Văn học Nghệ thuật</t>
  </si>
  <si>
    <t>40</t>
  </si>
  <si>
    <t>Hội HN Việt Nam - lào, VN - Campuchia</t>
  </si>
  <si>
    <t>41</t>
  </si>
  <si>
    <t>Hội liên lạc người Việt Nam ở nước ngoài</t>
  </si>
  <si>
    <t>42</t>
  </si>
  <si>
    <t>Hội Luật gia</t>
  </si>
  <si>
    <t>43</t>
  </si>
  <si>
    <t xml:space="preserve">Hội chữ thập đỏ </t>
  </si>
  <si>
    <t>Liên minh các Hợp tác xã</t>
  </si>
  <si>
    <t>Hỗ trợ ĐV TƯ kết nghĩa xã NQ 04</t>
  </si>
  <si>
    <t>Kinh phí trực phục vụ Tết nguyên đán</t>
  </si>
  <si>
    <t>Công đoàn viên chức tỉnh</t>
  </si>
  <si>
    <t>Đoàn Luật sư tỉnh</t>
  </si>
  <si>
    <t>Ban quản lý các dự án 98</t>
  </si>
  <si>
    <t>Bệnh viện đa khoa tỉnh</t>
  </si>
  <si>
    <t>Ban quản lý dự án bảo vệ và Quản lý tổng hợp các hệ sinh thái rừng</t>
  </si>
  <si>
    <t xml:space="preserve">Ban quản lý Vườn quốc gia Chư Mom Ray </t>
  </si>
  <si>
    <t>Trường Chính trị tỉnh Kon Tum</t>
  </si>
  <si>
    <t>Bệnh viện Y dược Cổ truyền - Phục hồi chức năng tỉnh Kon Tum</t>
  </si>
  <si>
    <t>Trung tâm nước sinh hoạt và VS MT nông thôn</t>
  </si>
  <si>
    <t>Ban quản lý dự án đầu tư xây dựng các CT nông nghiệp và PTNT</t>
  </si>
  <si>
    <t>Trung tâm Phát triển Quỹ đất</t>
  </si>
  <si>
    <t xml:space="preserve">Chi cục Kiểm lâm tỉnh </t>
  </si>
  <si>
    <t xml:space="preserve">Ngân hàng chính sách xã hội tỉnh </t>
  </si>
  <si>
    <t>Quỹ bảo trì đường bộ</t>
  </si>
  <si>
    <t>Báo Kon Tum</t>
  </si>
  <si>
    <t>Công ty TNHH MTV Cao su Chưmomray</t>
  </si>
  <si>
    <t>Công ty TNHH MTV Cao su Kon Tum</t>
  </si>
  <si>
    <t>Công ty Cổ phần Cao su Sa Thầy</t>
  </si>
  <si>
    <t>Ban ATGT tỉnh</t>
  </si>
  <si>
    <t>Các nguồn tập trung ngân sách tỉnh chưa phân bổ đầu năm (phân bổ khi có nhiệm vụ phát sinh)</t>
  </si>
  <si>
    <t>I.2</t>
  </si>
  <si>
    <t>CÁC HUYỆN, THÀNH PHỐ (Quyết toán tại ngân sách tỉnh, không bao gồm vốn đầu tư phân cấp NSH)</t>
  </si>
  <si>
    <t>UBND huyện Đăk Hà</t>
  </si>
  <si>
    <t>UBND huyện Đăk Tô</t>
  </si>
  <si>
    <t>UBND huyện Tu Mơ Rông</t>
  </si>
  <si>
    <t>UBND huyện Sa Thầy</t>
  </si>
  <si>
    <t xml:space="preserve">UBND huyện Ngọc Hồi </t>
  </si>
  <si>
    <t>UBND huyện Đăk Glei</t>
  </si>
  <si>
    <t>UBND huyện Ia H'Drai</t>
  </si>
  <si>
    <t>UBND huyện Kon Rẫy</t>
  </si>
  <si>
    <t xml:space="preserve">UBND huyện Kon PLông </t>
  </si>
  <si>
    <t>UBND thành phố Kon Tum</t>
  </si>
  <si>
    <t>Các Chủ đầu tư khác</t>
  </si>
  <si>
    <t>CHI KHÁC NGÂN SÁCH TỈNH</t>
  </si>
  <si>
    <t>Nguồn mua sắm sữa chữa tập trung</t>
  </si>
  <si>
    <t>Cấp vốn ủy thác, bù lãi suất theo NQ HĐND</t>
  </si>
  <si>
    <t>Chi khác ngân sách</t>
  </si>
  <si>
    <t>CHI BỔ SUNG QUỸ DỰ TRỮ TÀI CHÍNH</t>
  </si>
  <si>
    <t>CHI DỰ PHÒNG NGÂN SÁCH</t>
  </si>
  <si>
    <t xml:space="preserve">CHI BỔ SUNG MỤC TIÊU CHO NGÂN SÁCH HUYỆN </t>
  </si>
  <si>
    <t>VII</t>
  </si>
  <si>
    <t>VIII</t>
  </si>
  <si>
    <t>Nội dung (1)</t>
  </si>
  <si>
    <t>Ngân sách cấp tỉnh</t>
  </si>
  <si>
    <t>Ngân sách huyện</t>
  </si>
  <si>
    <t>CHI TỪ NGUỒN BỘI CHI NSĐP</t>
  </si>
  <si>
    <t>44</t>
  </si>
  <si>
    <t>45</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</si>
  <si>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</si>
  <si>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</si>
  <si>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</si>
  <si>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</si>
  <si>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</si>
  <si>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</si>
  <si>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</si>
  <si>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</si>
  <si>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</si>
  <si>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</si>
  <si>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</si>
  <si>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</si>
  <si>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</si>
  <si>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</si>
  <si>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</si>
  <si>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</si>
  <si>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</si>
  <si>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</si>
  <si>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</si>
  <si>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</si>
  <si>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</si>
  <si>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</si>
  <si>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</si>
  <si>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</si>
  <si>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</si>
  <si>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</si>
  <si>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</si>
  <si>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</si>
  <si>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</si>
  <si>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</si>
  <si>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QUYẾT TOÁN CHI NGÂN SÁCH CẤP TỈNH THEO CHO TỪNG CƠ QUAN, TỔ CHỨC NĂM 2021</t>
  </si>
  <si>
    <t>Huyện Tu mơ rông</t>
  </si>
  <si>
    <t>TP Kon Tum</t>
  </si>
  <si>
    <t>Chi nguồn giao tăng thu so dự toán Trung ương giao</t>
  </si>
  <si>
    <t>Chi từ nguồn viện trợ thuộc nguồn thu NSĐP</t>
  </si>
  <si>
    <t>Chi cho vay từ nguồn vốn trong nước</t>
  </si>
  <si>
    <t>Thu từ khu vực DNNN do trung ương quản lý (1)</t>
  </si>
  <si>
    <t>Dự án khai thác quỹ đất phát triển kết cấu hạ tầng Trung tâm thể dục thể thao phường Trường Chinh, thành phố Kon Tum (1449)</t>
  </si>
  <si>
    <t>GTGC tiền thuê đất tương ứng số tiền đền bù GPMB của các DA đầu tư mà nhà đầu tư đã tự nguyện ứng trước (3605)</t>
  </si>
  <si>
    <t>Tiền sử dụng đất thuộc Dự án đường Bà Triệu (1449)</t>
  </si>
  <si>
    <t>Tiền bán tài sản liền với đất thuộc Dự án đường Bà Triệu (3365)</t>
  </si>
  <si>
    <t>Thu viện trợ thuộc nguồn thu ngân sách địa phương</t>
  </si>
  <si>
    <t xml:space="preserve">Chi đầu tư cho các dự án </t>
  </si>
  <si>
    <t>Trong đó: Chia theo lĩnh vực</t>
  </si>
  <si>
    <t xml:space="preserve">Chi khoa học và công nghệ </t>
  </si>
  <si>
    <t>Chi từ nguồn thu các dự án khai thác quỹ đất so với dự toán Trung ương giao (Bao gồm chi đền bù GPMB của các DA đầu tư mà nhà đầu tư đã tự nguyện ứng trước từ nguồn thu tiền thuê đất, tiền sử dụng đất  phân bổ cho các dự án, nhiệm vụ theo tiến độ nguồn thu thực tế)</t>
  </si>
  <si>
    <t xml:space="preserve">Chi cho vay từ nguồn vốn trong nước </t>
  </si>
  <si>
    <t>Giải ngân theo cơ chế tài chính trong nước</t>
  </si>
  <si>
    <t>Dự án cấp điện nông thôn từ lưới điện quốc gia tỉnh Kon Tum giai đoạn 2014 -2020</t>
  </si>
  <si>
    <t>Thực hiện theo tiến độ GTGC</t>
  </si>
  <si>
    <t>Chương trình mở rộng quy mô nước sạch nông thôn dựa trên kết quả</t>
  </si>
  <si>
    <t>Dự án Sửa chữa và nâng cao an toán đập</t>
  </si>
  <si>
    <t>Dự án phát triển khu vực biên giới tỉnh Kon Tum - Đầu tư nâng cấp Tỉnh lộ 675A</t>
  </si>
  <si>
    <t>Dự án chuyển đổi nông nghiệp bền vững trên địa bàn tỉnh Kon Tum (VnSat) giai đoạn 2015-2020</t>
  </si>
  <si>
    <t>2.</t>
  </si>
  <si>
    <t>Vay lại nguồn vốn nước ngoài để thực hiện dự án ODA</t>
  </si>
  <si>
    <t>3.</t>
  </si>
  <si>
    <t xml:space="preserve">3.1 </t>
  </si>
  <si>
    <t>Bổ sung các chương trình mục tiêu</t>
  </si>
  <si>
    <t>Ngành, lĩnh vực giao thông</t>
  </si>
  <si>
    <t>Ngành, lĩnh vực cấp nước, thoát nước</t>
  </si>
  <si>
    <t>Ngành, lĩnh vực công nghiệp</t>
  </si>
  <si>
    <t>Ngành, lĩnh vực nông nghiệp, lâm nghiệp, thủy lợi và thủy sản</t>
  </si>
  <si>
    <t>Ngành, lĩnh vực Quốc phòng</t>
  </si>
  <si>
    <t>Ngành, lĩnh vực Giáo dục</t>
  </si>
  <si>
    <t>Ngành, lĩnh vực Y tế</t>
  </si>
  <si>
    <t>Hỗ trợ đồng bào miền núi theo Quyết định số 2085/QĐ-TTg</t>
  </si>
  <si>
    <t>Hỗ trợ đồng bào miền núi theo Quyết định số 2086/QĐ-TTg</t>
  </si>
  <si>
    <t xml:space="preserve">Nguồn dự phòng ngân sách Trung ương 2019 - các dự án cấp bách </t>
  </si>
  <si>
    <t>Nguồn dự phòng ngân sách Trung ương 2020 - các dự án cấp khẩn cấp</t>
  </si>
  <si>
    <t>Dự phòng  ngân sách Trung ương 2020</t>
  </si>
  <si>
    <t>Viện trợ không hoàn lại của chính phủ Ai Len</t>
  </si>
  <si>
    <t>Vốn Trái phiếu Chính phủ</t>
  </si>
  <si>
    <t>TPCP - Ngành giao thông</t>
  </si>
  <si>
    <t>TPCP - Ngành Giáo dục</t>
  </si>
  <si>
    <t>Dự án phát triển trẻ em toàn diện tỉnh Kon Tum giai đoạn 2017-2021 (Ban Quản lý Dự án Phát triển trẻ thơ toàn diện tỉnh)</t>
  </si>
  <si>
    <t xml:space="preserve">Nguồn vốn vay còn lại chưa phân bổ </t>
  </si>
  <si>
    <t xml:space="preserve">Hỗ trợ chi phí học tập và miễn giảm học phí </t>
  </si>
  <si>
    <t xml:space="preserve">Hỗ trợ học sinh và trường phổ thông ở xã, thôn đặc biệt khó khăn </t>
  </si>
  <si>
    <t>Hỗ trợ kinh phí ăn trưa đối với trẻ em mẫu giáo và chính sách đối với giáo viên mầm non; chính sách ưu tiên đối với học sinh mẫu giáo, học sinh dân tộc ít người</t>
  </si>
  <si>
    <t>Kinh phí thực hiện Nghị định số 105/2020/NĐ-CP quy định chính sách phát triển giáo dục mầm non</t>
  </si>
  <si>
    <t>Chính sách ưu tiên với học sinh mẫu giáo, học sinh dân tộc ít người theo Nghị định 57/2017/NĐ-CP</t>
  </si>
  <si>
    <t>Hỗ trợ kinh phí đào tạo cán bộ quân sự cấp xã; kinh phí thực hiện đề án giảm thiểu hôn nhân cận huyết</t>
  </si>
  <si>
    <t>5.1</t>
  </si>
  <si>
    <t>5.2</t>
  </si>
  <si>
    <t xml:space="preserve">Hỗ trợ kinh phí mua thẻ BHYT cho các đối tượng </t>
  </si>
  <si>
    <t>Hỗ trợ kinh phí mua thẻ BHYT cho các đối tượng cận nghèo (Cấp KP trực tiếp về BHXH tỉnh)</t>
  </si>
  <si>
    <t>Hỗ trợ thực hiện chính sách đối với đối tượng bảo trợ xã hội; hỗ trợ tiền điện hộ nghèo, hộ chính sách xã hội; trợ giá trực tiếp cho người dân tộc thiểu số nghèo ở vùng khó khăn; hỗ trợ chính sách đối với người có uy tín trong đồng bào dân tộc thiểu số; hỗ trợ tổ chức, đơn vị sử dụng lao động là người dân tộc thiểu số</t>
  </si>
  <si>
    <t>9.1</t>
  </si>
  <si>
    <t>9.2</t>
  </si>
  <si>
    <t>9.3</t>
  </si>
  <si>
    <t>9.4</t>
  </si>
  <si>
    <t>Hỗ trợ kinh phí sản phẩm, dịch vụ công ích thủy lợi</t>
  </si>
  <si>
    <t>Bổ sung kinh phí thực hiện nhiệm vụ đảm bảo trật tự an toàn giao thông</t>
  </si>
  <si>
    <t>Kinh phí quản lý, bảo trì đường bộ cho các quỹ bảo trì đường bộ địa phương</t>
  </si>
  <si>
    <t>Hỗ trợ thực hiện một số Đề án, Dự án Khoa học và công nghệ</t>
  </si>
  <si>
    <t>Biểu số 53</t>
  </si>
  <si>
    <t>QUYẾT TOÁN CHI NGÂN SÁCH ĐỊA PHƯƠNG, CHI NGÂN SÁCH CẤP TỈNH VÀ CHI NGÂN SÁCH HUYỆN THEO CƠ CẤU CHI NĂM 2021</t>
  </si>
  <si>
    <t>(Kèm theo Nghị quyết số 84/NQ-HĐND ngày 09/12/2022 của Hội đồng nhân dân tỉnh Kon Tum)</t>
  </si>
  <si>
    <t>Đvt: Triệu đồng</t>
  </si>
  <si>
    <t>Dự toán năm 2021</t>
  </si>
  <si>
    <r>
      <t xml:space="preserve">Ghi chú: </t>
    </r>
    <r>
      <rPr>
        <i/>
        <sz val="10"/>
        <rFont val="Times New Roman"/>
        <family val="1"/>
      </rPr>
      <t>(1) Theo quy định tại Điều 7, Điều 11 và Điều 39 Luật NSNN, ngân sách huyện, xã không có nhiệm vụ chi nghiên cứu khoa học và công nghệ, chi trả lãi vay, chi bổ sung quỹ dự trữ tài chính.</t>
    </r>
  </si>
  <si>
    <t>Biểu mẫu số 52</t>
  </si>
  <si>
    <t>QUYẾT TOÁN CHI NGÂN SÁCH CẤP TỈNH THEO LĨNH VỰC NĂM 2021</t>
  </si>
  <si>
    <t>So sánh</t>
  </si>
  <si>
    <t>Tuyệt đối</t>
  </si>
  <si>
    <t>Tương đối (%) (3)</t>
  </si>
  <si>
    <t>3=2-1</t>
  </si>
  <si>
    <t>4=2/1</t>
  </si>
  <si>
    <t>CHI BỔ SUNG CÂN ĐỐI CHO NGÂN SÁCH CẤP DƯỚI (1)</t>
  </si>
  <si>
    <t>CHI NGÂN SÁCH CẤP TỈNH (HUYỆN, XÃ) THEO LĨNH VỰC</t>
  </si>
  <si>
    <t>1.11</t>
  </si>
  <si>
    <t>Chi quốc phòng, an ninh và trật tự an toàn xã hội</t>
  </si>
  <si>
    <t>1.12</t>
  </si>
  <si>
    <t>Chi khoa học và công nghệ (2)</t>
  </si>
  <si>
    <t>Chi thường xuyên khác</t>
  </si>
  <si>
    <t>Chi trả nợ gốc, lãi các khoản do chính quyền địa phương vay (2)</t>
  </si>
  <si>
    <t>Chi bổ sung quỹ dự trữ tài chính (2)</t>
  </si>
  <si>
    <t>IX</t>
  </si>
  <si>
    <t>CHI NỌP TRẢ NGÂN SÁCH CẤP TRÊN</t>
  </si>
  <si>
    <r>
      <t>Ghi chú:</t>
    </r>
    <r>
      <rPr>
        <i/>
        <sz val="10"/>
        <rFont val="Times New Roman"/>
        <family val="1"/>
      </rPr>
      <t xml:space="preserve"> (1) Ngân sách xã không có nhiệm vụ chi bổ sung cân đối cho ngân sách cấp dưới.</t>
    </r>
  </si>
  <si>
    <t>(2) Theo quy định tại Điều 7, Điều 11 và Điều 39 Luật NSNN, ngân sách huyện, xã không có nhiệm vụ chi nghiên cứu khoa học và công nghệ, chi trả lãi vay, chi bổ sung quỹ dự trữ tài chính.</t>
  </si>
  <si>
    <t>(3) Số quyết toán tăng so với số dự toán giao đầu năm là trong năm được cấp có thẩm quyền giao bổ sung từ nguồn Trung ương bổ sung có mục tiêu, nguồn năm trước chuyển sang, nguồn tăng thu NSĐP....</t>
  </si>
  <si>
    <t>Biểu số 54</t>
  </si>
  <si>
    <t>CHI BỔ SUNG QUỸ DỰ TRỮ TÀI CHÍNH, CHI DỰ PHÒNG, CHI BSMT CHO NGÂN SÁCH HUYỆN; CHI TỪ NGUỒN VIỆN TRỢ THUỘC NGUỒN THU NSĐP</t>
  </si>
  <si>
    <t>9=10+..+14+17</t>
  </si>
  <si>
    <t>17=18+19</t>
  </si>
  <si>
    <t>20=9/1</t>
  </si>
  <si>
    <t>21=10/2</t>
  </si>
  <si>
    <t>22=11/3</t>
  </si>
  <si>
    <t>23=14/6</t>
  </si>
  <si>
    <t>Sở Văn hoá Thể thao và Du lịch</t>
  </si>
  <si>
    <t>Thanh tra tỉnh</t>
  </si>
  <si>
    <t>Ban bảo vệ sức khỏe cán bộ</t>
  </si>
  <si>
    <t>Trường cao đẳng cộng đồng</t>
  </si>
  <si>
    <t>Hội người cao tuổi</t>
  </si>
  <si>
    <t>KP hoạt động BCĐ thi hành án dân sự tỉnh</t>
  </si>
  <si>
    <t>Hội bảo vệ người tiêu dùng</t>
  </si>
  <si>
    <t>Ban Quản lý Dự án phát triển trẻ thơ toàn diện tỉnh</t>
  </si>
  <si>
    <t>Liên đoàn lao động tỉnh</t>
  </si>
  <si>
    <t>Ban quản lý khai thác các công trình thủy lợi tỉnh</t>
  </si>
  <si>
    <t>Ban quản lý dự án chuyển đổi NN bền vững tỉnh Kon Tum</t>
  </si>
  <si>
    <t>BQL Khu bảo tồn Thiên nhiên Ngọc Linh</t>
  </si>
  <si>
    <t>Các tổ chức, đơn vị sử dụng lao động là người DTTS theo QĐ 42</t>
  </si>
  <si>
    <t>Bảo hiểm xã hội tỉnh</t>
  </si>
  <si>
    <t>77</t>
  </si>
  <si>
    <t>78</t>
  </si>
  <si>
    <t>Các đơn vị khác</t>
  </si>
  <si>
    <t>KP sắp xếp bộ máy theo NQ 18, 19/CP và biến động BC khác</t>
  </si>
  <si>
    <t>KP lập các Quy hoạch theo NQ 69/TW</t>
  </si>
  <si>
    <t>KP bầu cử các cấp</t>
  </si>
  <si>
    <t>CHI TRẢ NỢ GỐC, LÃI CÁC KHOẢN DO CHÍNH QUYỀN ĐỊA PHƯƠNG VAY; CHI CHO VAY TỪ NGUỒN VỐN TRONG NƯỚC</t>
  </si>
  <si>
    <t>CHI TỪ NGUỒN VIỆN TRỢ THUỘC NGUỒN THU NSĐP</t>
  </si>
  <si>
    <t>CHI CHO VAY TỪ NGUỒN VỐN TRONG NƯỚC</t>
  </si>
  <si>
    <t>X</t>
  </si>
  <si>
    <t xml:space="preserve">Nội dung </t>
  </si>
  <si>
    <t>Tổng chi cân đối NSĐP (bao gồm bội chi NSĐP)</t>
  </si>
  <si>
    <t>Tổng chi cân đối NSĐP</t>
  </si>
  <si>
    <t>46</t>
  </si>
  <si>
    <t>Tăng thu tiền sử dụng đất thành phố quản lý (1449)</t>
  </si>
  <si>
    <t>Tiền thuê đất thuộc Dự án đường Bà Triệu (3605)</t>
  </si>
  <si>
    <t>2.4</t>
  </si>
  <si>
    <t>Hỗ trợ kinh phí thực hiện nhiệm vụ đảm bảo trật tự an toàn giao thông</t>
  </si>
  <si>
    <t>2.5</t>
  </si>
  <si>
    <t>BQL khai thác các công trình thủy lợi</t>
  </si>
  <si>
    <t>Sở Giao thông vận tải</t>
  </si>
  <si>
    <t>Ban An toàn giao thông</t>
  </si>
  <si>
    <t>Sở Xây dựng</t>
  </si>
  <si>
    <t>Sở Tài nguyên Môi trường</t>
  </si>
  <si>
    <t xml:space="preserve">Sở Công Thương </t>
  </si>
  <si>
    <t>Sở Giáo dục Đào tạo</t>
  </si>
  <si>
    <t>Sở Y tế</t>
  </si>
  <si>
    <t>Sở Lao động Thương binh Xã hội</t>
  </si>
  <si>
    <t xml:space="preserve">Sở Tư pháp </t>
  </si>
  <si>
    <t>Văn phòng Tỉnh Uỷ</t>
  </si>
  <si>
    <t>Sở Khoa học công nghệ</t>
  </si>
  <si>
    <t xml:space="preserve">Tỉnh đoàn </t>
  </si>
  <si>
    <t>Sở Thông tin truyền thông</t>
  </si>
  <si>
    <t xml:space="preserve">Ban Quản lý Khu Kinh tế  </t>
  </si>
  <si>
    <t>BQL Vườn quốc gia Chư Mom Ray</t>
  </si>
  <si>
    <t xml:space="preserve">Trường Chính trị </t>
  </si>
  <si>
    <t xml:space="preserve"> Đài phát thanh - Truyền hình</t>
  </si>
  <si>
    <t>Văn phòng Đoàn ĐBQH và HĐND tỉnh</t>
  </si>
  <si>
    <t xml:space="preserve">Sở Kế hoạch Đầu tư </t>
  </si>
  <si>
    <t xml:space="preserve">Sở Tài chính </t>
  </si>
  <si>
    <t xml:space="preserve">Hội Cựu chiến binh </t>
  </si>
  <si>
    <t xml:space="preserve">Hội Nông dân </t>
  </si>
  <si>
    <t xml:space="preserve">Hội liên hiệp phụ nữ tỉnh </t>
  </si>
  <si>
    <t>Chi Cục Kiểm lâm</t>
  </si>
  <si>
    <t>Ban quản lý dự án đầu tư xây dựng các công trình Nông nghiệp và PTNT</t>
  </si>
  <si>
    <t>Ban quản lý DA chuyển đổi NN bền vững tỉnh Kon Tum  (VnSat)</t>
  </si>
  <si>
    <t>Hội nạn nhân chất độc da cam/dioxin</t>
  </si>
  <si>
    <t>Hội Bảo vệ quyền trẻ em và bảo trợ người khuyết tật</t>
  </si>
  <si>
    <t xml:space="preserve">Liên hiệp các hội KH và kỹ thuật </t>
  </si>
  <si>
    <t>Liên minh Hợp tác xã</t>
  </si>
  <si>
    <t>Đoàn Luật sư</t>
  </si>
  <si>
    <t xml:space="preserve">Liên đoàn Lao động tỉnh </t>
  </si>
  <si>
    <t>Công ty TNHH MTV Lâm nghiệp Đăk Glei</t>
  </si>
  <si>
    <t>Công ty TNHH MTV Lâm nghiệp Kon Rẫy</t>
  </si>
  <si>
    <t>Công ty TNHH MTV Lâm nghiệp Sa Thầy</t>
  </si>
  <si>
    <t>Công ty TNHH MTV Lâm nghiệp Ngọc Hồi</t>
  </si>
  <si>
    <t>Công ty TNHH MTV Lâm nghiệp Đăk Tô</t>
  </si>
  <si>
    <t>Công ty TNHH MTV Lâm nghiệp Kon Plong</t>
  </si>
  <si>
    <t>Công ty TNHH MTV Lâm nghiệp Ia H'Drai</t>
  </si>
  <si>
    <t>Công ty cổ phần Sâm Ngọc Linh Kon Tum</t>
  </si>
  <si>
    <t>Công ty cổ phần đầu tư phát triển Duy Tân</t>
  </si>
  <si>
    <t>Công ty TNHH MTV Cao su Chư Momray</t>
  </si>
  <si>
    <t>Công ty cổ phần Cao su Sa Thầy</t>
  </si>
  <si>
    <t>BQL Khu BTTN Ngọc Linh</t>
  </si>
  <si>
    <t>CHI TỪ NGUỒN GIAO TĂNG THU SO DỰ TOÁN TRUNG ƯƠNG GIAO</t>
  </si>
  <si>
    <t>Huyện Ngọc Hồi</t>
  </si>
  <si>
    <t>Huyện Ia'H Drai</t>
  </si>
  <si>
    <t>4=5+8</t>
  </si>
  <si>
    <t>5=6+7</t>
  </si>
  <si>
    <t>8=9+10</t>
  </si>
  <si>
    <t>11=12+15</t>
  </si>
  <si>
    <t>12=13+14</t>
  </si>
  <si>
    <t>15=16+17</t>
  </si>
  <si>
    <t>Sở Nông nghiệp và Phát triển nông thôn</t>
  </si>
  <si>
    <t>Sở Lao động - Thương binh và Xã hội</t>
  </si>
  <si>
    <t>Sở Công Thương</t>
  </si>
  <si>
    <t>Sở Giáo dục và Đào tạo</t>
  </si>
  <si>
    <t>Trường Cao đẳng Cộng đồng Kon Tum</t>
  </si>
  <si>
    <t>Sở Văn hóa, Thể thao và Du lịch</t>
  </si>
  <si>
    <t>Hội Liên hiệp Phụ nữ tỉnh</t>
  </si>
  <si>
    <t>Liên minh Hợp tác xã tỉnh</t>
  </si>
  <si>
    <t>Hội Nông dân tỉnh</t>
  </si>
  <si>
    <t>Tỉnh đoàn</t>
  </si>
  <si>
    <t>Sở Thông tin và Truyền thông</t>
  </si>
  <si>
    <t>Sở Kế hoạch và Đầu tư</t>
  </si>
  <si>
    <t>Sở Tư pháp</t>
  </si>
  <si>
    <t>Sở Giao thông Vận tải</t>
  </si>
  <si>
    <t>Ngân hàng Nhà nước Việt Nam - Chi nhánh tỉnh Kon Tum</t>
  </si>
  <si>
    <t>Ban quản lý Vườn quốc gia Chư Mom Ray</t>
  </si>
  <si>
    <t>Công ty TNHH MTV Lâm nghiệp Kon Plông</t>
  </si>
  <si>
    <t>(Kèm theo Quyết định số        /QĐ-UBND ngày       /     /        của Uỷ ban nhân dân tỉnh Kon Tum)</t>
  </si>
  <si>
    <t>CÂN ĐỐI NGÂN SÁCH ĐỊA PHƯƠNG NĂM 2023</t>
  </si>
  <si>
    <t xml:space="preserve">Chi trả nợ lãi, phí tiền vay </t>
  </si>
  <si>
    <t>Chi trả nợ gốc</t>
  </si>
  <si>
    <t>Thu từ khu vực DNNN do địa phương quản lý (2)</t>
  </si>
  <si>
    <t>Thu từ khu vực doanh nghiệp có vốn đầu tư nước ngoài (3)</t>
  </si>
  <si>
    <t>Thu từ khu vực kinh tế ngoài quốc doanh (4)</t>
  </si>
  <si>
    <t>Thu hồi vốn, thu cổ tức (5)</t>
  </si>
  <si>
    <t>Lợi nhuận được chia của Nhà nước và lợi nhuận sau thuế còn lại sau khi trích lập các quỹ của doanh nghiệp nhà nước (5)</t>
  </si>
  <si>
    <t>Chênh lệch thu chi Ngân hàng Nhà nước (5)</t>
  </si>
  <si>
    <t>Chi trả nợ lãi, phí tiền vay</t>
  </si>
  <si>
    <t>Chương trình mục tiêu quốc gia phát triển KT-XH vùng DTTS và Miền núi</t>
  </si>
  <si>
    <t xml:space="preserve">2.1 </t>
  </si>
  <si>
    <t>Chương trình phục hồi và phát triển kinh tế - xã hội</t>
  </si>
  <si>
    <t xml:space="preserve">Hỗ trợ doanh nghiệp vừa và nhỏ </t>
  </si>
  <si>
    <t>Bổ sung thực hiện Chương trình phát triển lâm nghiệp bền vững</t>
  </si>
  <si>
    <t>2.6</t>
  </si>
  <si>
    <t>2.7</t>
  </si>
  <si>
    <t>2.8</t>
  </si>
  <si>
    <t xml:space="preserve">Ngành, lĩnh vực khác </t>
  </si>
  <si>
    <t>1.13</t>
  </si>
  <si>
    <t>QUYẾT TOÁN CHI NGÂN SÁCH CẤP TỈNH THEO TỪNG LĨNH VỰC NĂM 2023</t>
  </si>
  <si>
    <t>QUYẾT TOÁN CHI NGÂN SÁCH ĐỊA PHƯƠNG, CHI NGÂN SÁCH CẤP TỈNH  VÀ CHI NGÂN SÁCH HUYỆN THEO CƠ CẤU CHI NĂM 2023</t>
  </si>
  <si>
    <t>QUYẾT TOÁN THU NGÂN SÁCH NHÀ NƯỚC NĂM 2023</t>
  </si>
  <si>
    <t>Dự phòng ngân sách Trung ương 2022</t>
  </si>
  <si>
    <t>Hỗ trợ các Hội Văn học nghệ thuật địa phương</t>
  </si>
  <si>
    <t>Hỗ trợ các Hội Nhà báo địa phương</t>
  </si>
  <si>
    <t>Kinh phí thực hiện Chương trình trợ giúp xã hội và PHCN cho người tâm thần, trẻ em tự kỷ và người rối nhiễu tâm trí; chương trình phát triển công tác xã hội</t>
  </si>
  <si>
    <t xml:space="preserve">Hỗ trợ bồi dưỡng cán bộ, công chức Hội Liên hiệp các cấp và Chi hội trưởng Phụ nữ </t>
  </si>
  <si>
    <t xml:space="preserve">Kinh phí quản lý, bảo trì đường bộ </t>
  </si>
  <si>
    <t>CHI BỔ SUNG QUỸ DỰ TRỮ TÀI CHÍNH, CHI DỰ PHÒNG, CHI BSMT CHO NGÂN SÁCH HUYỆN; CHI TỪ NGUỒN BỘI CHI NSĐP, CHI TỪ NGUỒN GIAO TĂNG THU SO DỰ TOÁN TRUNG ƯƠNG GIAO</t>
  </si>
  <si>
    <t>CHI DỰ PHÒNG, CHI BỔ SUNG CHO NGÂN SÁCH CẤP DƯỚI, CHI TỪ NGUỒN VIỆN TRỢ THUỘC NGUỒN THU NSĐP</t>
  </si>
  <si>
    <t>Sở NN và PT nông thôn</t>
  </si>
  <si>
    <t xml:space="preserve">Sở  Văn hoá - Thể thao và  Du lịch </t>
  </si>
  <si>
    <t>Trường Cao đẳng Kon Tum</t>
  </si>
  <si>
    <t>Thanh tra nhà nước</t>
  </si>
  <si>
    <t>Ban Quản lý dự án đầu tư xây dựng các công trình giao thông, dân dụng và công nghiệp tỉnh Kon Tum (trước đây là ban QL 98)</t>
  </si>
  <si>
    <t>Hội Cựu giáo chức Kon Tum</t>
  </si>
  <si>
    <t>Hội hữu nghị Việt - Lào; Việt Nam - Campuchia</t>
  </si>
  <si>
    <t>Liên đoàn cầu lông tỉnh</t>
  </si>
  <si>
    <t>Nguồn tập trung tại tỉnh</t>
  </si>
  <si>
    <t>Hội Bảo vệ người tiêu dùng</t>
  </si>
  <si>
    <t>Công ty Nông nghiệp sạch Tây Nguyên</t>
  </si>
  <si>
    <t>Quỹ phát triển đất tỉnh Kon Tum</t>
  </si>
  <si>
    <t>Huyện Kon Plông</t>
  </si>
  <si>
    <t xml:space="preserve">CHI BỔ SUNG CHO NGÂN SÁCH CẤP DƯỚI </t>
  </si>
  <si>
    <t>XI</t>
  </si>
  <si>
    <t>QUYẾT TOÁN CHI BỔ SUNG TỪ NGÂN SÁCH CẤP TỈNH CHO NGÂN SÁCH HUYỆN NĂM 2023</t>
  </si>
  <si>
    <t>QUYẾT TOÁN CHI CHƯƠNG TRÌNH MỤC TIÊU QUỐC GIA NĂM 2023</t>
  </si>
  <si>
    <t>DỰ TOÁN TRUNG ƯƠNG BỔ SUNG CÓ MỤC TIÊU NĂM 2023</t>
  </si>
  <si>
    <t>2=5+12</t>
  </si>
  <si>
    <t>3=8+15</t>
  </si>
  <si>
    <t>1=2+4</t>
  </si>
  <si>
    <t>2=5+13</t>
  </si>
  <si>
    <t>3=8+16</t>
  </si>
  <si>
    <t>4=5+9</t>
  </si>
  <si>
    <t>5=6+8</t>
  </si>
  <si>
    <t>8=9+11</t>
  </si>
  <si>
    <t>11=12+16</t>
  </si>
  <si>
    <t>12=13+15</t>
  </si>
  <si>
    <t>15=16+18</t>
  </si>
  <si>
    <t>35=18/1</t>
  </si>
  <si>
    <t>36=19/2</t>
  </si>
  <si>
    <t>37=20/3</t>
  </si>
  <si>
    <t>38=21/4</t>
  </si>
  <si>
    <t>39=22/5</t>
  </si>
  <si>
    <t>40=23/6</t>
  </si>
  <si>
    <t>41=24/7</t>
  </si>
  <si>
    <t>45=25/8</t>
  </si>
  <si>
    <t>46=26/9</t>
  </si>
  <si>
    <t>47=27/10</t>
  </si>
  <si>
    <t>48=28/11</t>
  </si>
  <si>
    <t>49=29/12</t>
  </si>
  <si>
    <t>50=30/13</t>
  </si>
  <si>
    <t>51=31/14</t>
  </si>
  <si>
    <t>52=32/15</t>
  </si>
  <si>
    <t>53=33/16</t>
  </si>
  <si>
    <t>54=34/17</t>
  </si>
  <si>
    <t>Ban Dân tộc tỉnh</t>
  </si>
  <si>
    <t>Ủy ban Mặt trận Tổ quốc Việt Nam tỉnh</t>
  </si>
  <si>
    <t>Văn phòng Tỉnh ủy</t>
  </si>
  <si>
    <t>QUYẾT TOÁN CHI NGÂN SÁCH CẤP TỈNH THEO CHO TỪNG CƠ QUAN, TỔ CHỨC NĂM 2023</t>
  </si>
  <si>
    <t>(Kèm theo Quyết định số 830 /QĐ-UBND ngày 16/12/2024 của Uỷ ban nhân dân tỉnh Kon Tum)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</si>
</sst>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0.00_);_(* \(#,##0.00\);_(* &quot;-&quot;??_);_(@_)"/>
    <numFmt numFmtId="164" formatCode="_-* #,##0.00_-;\-* #,##0.00_-;_-* &quot;-&quot;??_-;_-@_-"/>
    <numFmt numFmtId="165" formatCode="_-* #,##0.00\ _₫_-;\-* #,##0.00\ _₫_-;_-* &quot;-&quot;??\ _₫_-;_-@_-"/>
    <numFmt numFmtId="166" formatCode="_(* #,##0.0_);_(* \(#,##0.0\);_(* &quot;-&quot;??_);_(@_)"/>
    <numFmt numFmtId="167" formatCode="_(* #,##0_);_(* \(#,##0\);_(* &quot;-&quot;??_);_(@_)"/>
    <numFmt numFmtId="168" formatCode="_(* #,##0.00_);_(* \(#,##0.00\);_(* \-??_);_(@_)"/>
    <numFmt numFmtId="169" formatCode="_-* #,##0\ _₫_-;\-* #,##0\ _₫_-;_-* &quot;-&quot;??\ _₫_-;_-@_-"/>
    <numFmt numFmtId="170" formatCode="_-* #,##0_-;\-* #,##0_-;_-* &quot;-&quot;??_-;_-@_-"/>
    <numFmt numFmtId="171" formatCode="_(* #,##0.00000_);_(* \(#,##0.00000\);_(* &quot;-&quot;??_);_(@_)"/>
  </numFmts>
  <fonts count="55" x14ac:knownFonts="1">
    <font>
      <sz val="11"/>
      <color theme="1"/>
      <name val="Calibri"/>
      <family val="2"/>
      <scheme val="minor"/>
    </font>
    <font>
      <sz val="11"/>
      <color theme="1"/>
      <name val="Calibri"/>
      <family val="2"/>
      <charset val="163"/>
      <scheme val="minor"/>
    </font>
    <font>
      <sz val="11"/>
      <color theme="1"/>
      <name val="Calibri"/>
      <family val="2"/>
      <charset val="163"/>
      <scheme val="minor"/>
    </font>
    <font>
      <sz val="12"/>
      <color theme="1"/>
      <name val="Times New Roman"/>
      <family val="2"/>
    </font>
    <font>
      <sz val="11"/>
      <color theme="1"/>
      <name val="Calibri"/>
      <family val="2"/>
      <scheme val="minor"/>
    </font>
    <font>
      <sz val="10"/>
      <name val="Arial"/>
      <family val="2"/>
    </font>
    <font>
      <b/>
      <sz val="12"/>
      <color rgb="FF000000"/>
      <name val="Times New Roman"/>
      <family val="1"/>
    </font>
    <font>
      <i/>
      <sz val="12"/>
      <color rgb="FF000000"/>
      <name val="Times New Roman"/>
      <family val="1"/>
    </font>
    <font>
      <sz val="12"/>
      <color rgb="FF000000"/>
      <name val="Times New Roman"/>
      <family val="1"/>
    </font>
    <font>
      <b/>
      <sz val="12"/>
      <color rgb="FFFF0000"/>
      <name val="Times New Roman"/>
      <family val="1"/>
    </font>
    <font>
      <sz val="10"/>
      <color rgb="FF000000"/>
      <name val="Times New Roman"/>
      <family val="1"/>
    </font>
    <font>
      <sz val="11"/>
      <name val="Times New Roman"/>
      <family val="1"/>
    </font>
    <font>
      <b/>
      <sz val="11"/>
      <name val="Times New Roman"/>
      <family val="1"/>
    </font>
    <font>
      <b/>
      <sz val="12"/>
      <name val="Times New Roman"/>
      <family val="1"/>
    </font>
    <font>
      <i/>
      <sz val="11"/>
      <name val="Times New Roman"/>
      <family val="1"/>
    </font>
    <font>
      <sz val="12"/>
      <name val="Times New Roman"/>
      <family val="1"/>
    </font>
    <font>
      <sz val="10"/>
      <name val="Times New Roman"/>
      <family val="1"/>
    </font>
    <font>
      <b/>
      <sz val="13"/>
      <name val="Times New Roman"/>
      <family val="1"/>
    </font>
    <font>
      <i/>
      <sz val="12"/>
      <name val="Times New Roman"/>
      <family val="1"/>
    </font>
    <font>
      <sz val="11"/>
      <color indexed="8"/>
      <name val="Calibri"/>
      <family val="2"/>
    </font>
    <font>
      <b/>
      <sz val="10"/>
      <name val="Times New Roman"/>
      <family val="1"/>
    </font>
    <font>
      <sz val="12"/>
      <color theme="1"/>
      <name val="Times New Roman"/>
      <family val="1"/>
    </font>
    <font>
      <b/>
      <sz val="12"/>
      <color theme="1"/>
      <name val="Times New Roman"/>
      <family val="1"/>
    </font>
    <font>
      <sz val="9"/>
      <name val="Times New Roman"/>
      <family val="1"/>
    </font>
    <font>
      <b/>
      <sz val="9"/>
      <name val="Times New Roman"/>
      <family val="1"/>
    </font>
    <font>
      <sz val="8"/>
      <name val="Times New Roman"/>
      <family val="1"/>
    </font>
    <font>
      <i/>
      <sz val="12"/>
      <color theme="1"/>
      <name val="Times New Roman"/>
      <family val="1"/>
    </font>
    <font>
      <sz val="12"/>
      <color rgb="FFFF0000"/>
      <name val="Times New Roman"/>
      <family val="1"/>
    </font>
    <font>
      <b/>
      <sz val="11"/>
      <color rgb="FFFF0000"/>
      <name val="Times New Roman"/>
      <family val="1"/>
    </font>
    <font>
      <i/>
      <sz val="13"/>
      <name val="Times New Roman"/>
      <family val="1"/>
    </font>
    <font>
      <b/>
      <sz val="10"/>
      <name val="Times New Roman"/>
      <family val="1"/>
      <charset val="163"/>
    </font>
    <font>
      <i/>
      <sz val="10"/>
      <name val="Times New Roman"/>
      <family val="1"/>
    </font>
    <font>
      <b/>
      <i/>
      <sz val="12"/>
      <name val="Times New Roman"/>
      <family val="1"/>
    </font>
    <font>
      <sz val="11"/>
      <name val="Calibri"/>
      <family val="2"/>
      <scheme val="minor"/>
    </font>
    <font>
      <sz val="11"/>
      <name val="Times New Roman"/>
      <family val="1"/>
      <charset val="163"/>
    </font>
    <font>
      <sz val="10"/>
      <name val="Times New Roman"/>
      <family val="1"/>
      <charset val="163"/>
    </font>
    <font>
      <i/>
      <sz val="10"/>
      <name val="Times New Roman"/>
      <family val="1"/>
      <charset val="163"/>
    </font>
    <font>
      <b/>
      <sz val="10"/>
      <color rgb="FFFF0000"/>
      <name val="Times New Roman"/>
      <family val="1"/>
      <charset val="163"/>
    </font>
    <font>
      <sz val="11"/>
      <color theme="0"/>
      <name val="Times New Roman"/>
      <family val="1"/>
    </font>
    <font>
      <i/>
      <sz val="10"/>
      <color rgb="FF000000"/>
      <name val="Arial"/>
      <family val="2"/>
    </font>
    <font>
      <i/>
      <sz val="11"/>
      <color theme="0"/>
      <name val="Times New Roman"/>
      <family val="1"/>
    </font>
    <font>
      <b/>
      <i/>
      <sz val="10"/>
      <name val="Times New Roman"/>
      <family val="1"/>
    </font>
    <font>
      <b/>
      <sz val="11"/>
      <name val="Times New Roman"/>
      <family val="1"/>
      <charset val="163"/>
    </font>
    <font>
      <sz val="11"/>
      <color rgb="FFFF0000"/>
      <name val="Times New Roman"/>
      <family val="1"/>
      <charset val="163"/>
    </font>
    <font>
      <i/>
      <sz val="10"/>
      <name val="Arial"/>
      <family val="2"/>
      <charset val="163"/>
    </font>
    <font>
      <sz val="11"/>
      <color theme="0"/>
      <name val="Times New Roman"/>
      <family val="1"/>
      <charset val="163"/>
    </font>
    <font>
      <i/>
      <sz val="11"/>
      <color theme="0"/>
      <name val="Times New Roman"/>
      <family val="1"/>
      <charset val="163"/>
    </font>
    <font>
      <b/>
      <i/>
      <sz val="10"/>
      <name val="Times New Roman"/>
      <family val="1"/>
      <charset val="163"/>
    </font>
    <font>
      <i/>
      <sz val="13"/>
      <color rgb="FFFF0000"/>
      <name val="Times New Roman"/>
      <family val="1"/>
    </font>
    <font>
      <sz val="12"/>
      <color theme="0"/>
      <name val="Times New Roman"/>
      <family val="1"/>
    </font>
    <font>
      <i/>
      <sz val="10"/>
      <name val="Arial"/>
      <family val="2"/>
    </font>
    <font>
      <sz val="12"/>
      <color rgb="FF0000FF"/>
      <name val="Times New Roman"/>
      <family val="1"/>
    </font>
    <font>
      <b/>
      <sz val="9"/>
      <color indexed="81"/>
      <name val="Tahoma"/>
      <family val="2"/>
    </font>
    <font>
      <b/>
      <sz val="11"/>
      <name val="Calibri"/>
      <family val="2"/>
      <scheme val="minor"/>
    </font>
    <font>
      <sz val="8"/>
      <name val="Calibri"/>
      <family val="2"/>
      <scheme val="minor"/>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style="hair">
        <color rgb="FF000000"/>
      </bottom>
      <diagonal/>
    </border>
    <border>
      <left style="thin">
        <color rgb="FF000000"/>
      </left>
      <right style="thin">
        <color rgb="FF000000"/>
      </right>
      <top style="hair">
        <color rgb="FF000000"/>
      </top>
      <bottom style="hair">
        <color rgb="FF000000"/>
      </bottom>
      <diagonal/>
    </border>
    <border>
      <left style="thin">
        <color rgb="FF000000"/>
      </left>
      <right style="thin">
        <color rgb="FF000000"/>
      </right>
      <top style="hair">
        <color rgb="FF000000"/>
      </top>
      <bottom style="thin">
        <color rgb="FF000000"/>
      </bottom>
      <diagonal/>
    </border>
    <border>
      <left/>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style="hair">
        <color auto="1"/>
      </top>
      <bottom/>
      <diagonal/>
    </border>
    <border>
      <left style="thin">
        <color indexed="64"/>
      </left>
      <right style="thin">
        <color indexed="64"/>
      </right>
      <top/>
      <bottom style="hair">
        <color indexed="64"/>
      </bottom>
      <diagonal/>
    </border>
    <border>
      <left style="thin">
        <color indexed="64"/>
      </left>
      <right style="thin">
        <color indexed="64"/>
      </right>
      <top/>
      <bottom style="thin">
        <color indexed="64"/>
      </bottom>
      <diagonal/>
    </border>
    <border>
      <left style="thin">
        <color indexed="64"/>
      </left>
      <right style="thin">
        <color rgb="FF000000"/>
      </right>
      <top style="hair">
        <color rgb="FF000000"/>
      </top>
      <bottom style="thin">
        <color indexed="64"/>
      </bottom>
      <diagonal/>
    </border>
    <border>
      <left style="thin">
        <color rgb="FF000000"/>
      </left>
      <right style="thin">
        <color rgb="FF000000"/>
      </right>
      <top style="hair">
        <color rgb="FF000000"/>
      </top>
      <bottom style="thin">
        <color indexed="64"/>
      </bottom>
      <diagonal/>
    </border>
  </borders>
  <cellStyleXfs count="20">
    <xf numFmtId="0" fontId="0" fillId="0" borderId="0"/>
    <xf numFmtId="43" fontId="4" fillId="0" borderId="0" applyFont="0" applyFill="0" applyBorder="0" applyAlignment="0" applyProtection="0"/>
    <xf numFmtId="43" fontId="5" fillId="0" borderId="0" applyFont="0" applyFill="0" applyBorder="0" applyAlignment="0" applyProtection="0"/>
    <xf numFmtId="0" fontId="5" fillId="0" borderId="0"/>
    <xf numFmtId="0" fontId="5" fillId="0" borderId="0"/>
    <xf numFmtId="0" fontId="19" fillId="0" borderId="0"/>
    <xf numFmtId="43" fontId="5" fillId="0" borderId="0" applyFont="0" applyFill="0" applyBorder="0" applyAlignment="0" applyProtection="0"/>
    <xf numFmtId="0" fontId="5" fillId="0" borderId="0"/>
    <xf numFmtId="0" fontId="3" fillId="0" borderId="0"/>
    <xf numFmtId="43" fontId="5" fillId="0" borderId="0" applyFont="0" applyFill="0" applyBorder="0" applyAlignment="0" applyProtection="0"/>
    <xf numFmtId="168" fontId="5" fillId="0" borderId="0" applyFill="0" applyBorder="0" applyAlignment="0" applyProtection="0"/>
    <xf numFmtId="168" fontId="5" fillId="0" borderId="0" applyFill="0" applyBorder="0" applyAlignment="0" applyProtection="0"/>
    <xf numFmtId="0" fontId="5" fillId="0" borderId="0"/>
    <xf numFmtId="9" fontId="4" fillId="0" borderId="0" applyFont="0" applyFill="0" applyBorder="0" applyAlignment="0" applyProtection="0"/>
    <xf numFmtId="9" fontId="2" fillId="0" borderId="0" applyFont="0" applyFill="0" applyBorder="0" applyAlignment="0" applyProtection="0"/>
    <xf numFmtId="165" fontId="4" fillId="0" borderId="0" applyFont="0" applyFill="0" applyBorder="0" applyAlignment="0" applyProtection="0"/>
    <xf numFmtId="43" fontId="5" fillId="0" borderId="0" applyFont="0" applyFill="0" applyBorder="0" applyAlignment="0" applyProtection="0"/>
    <xf numFmtId="9" fontId="1" fillId="0" borderId="0" applyFont="0" applyFill="0" applyBorder="0" applyAlignment="0" applyProtection="0"/>
    <xf numFmtId="164" fontId="5" fillId="0" borderId="0" applyFont="0" applyFill="0" applyBorder="0" applyAlignment="0" applyProtection="0"/>
    <xf numFmtId="9" fontId="1" fillId="0" borderId="0" applyFont="0" applyFill="0" applyBorder="0" applyAlignment="0" applyProtection="0"/>
  </cellStyleXfs>
  <cellXfs count="353">
    <xf numFmtId="0" fontId="0" fillId="0" borderId="0" xfId="0"/>
    <xf numFmtId="0" fontId="15" fillId="0" borderId="0" xfId="0" applyFont="1" applyAlignment="1">
      <alignment horizontal="left" vertical="center"/>
    </xf>
    <xf numFmtId="0" fontId="9" fillId="0" borderId="0" xfId="0" applyFont="1" applyAlignment="1">
      <alignment horizontal="left"/>
    </xf>
    <xf numFmtId="0" fontId="13" fillId="0" borderId="4" xfId="0" applyFont="1" applyBorder="1" applyAlignment="1">
      <alignment horizontal="center" vertical="center" wrapText="1"/>
    </xf>
    <xf numFmtId="167" fontId="15" fillId="0" borderId="5" xfId="1" applyNumberFormat="1" applyFont="1" applyBorder="1" applyAlignment="1">
      <alignment vertical="center" wrapText="1"/>
    </xf>
    <xf numFmtId="166" fontId="15" fillId="0" borderId="5" xfId="1" applyNumberFormat="1" applyFont="1" applyBorder="1" applyAlignment="1">
      <alignment horizontal="center" vertical="center" wrapText="1"/>
    </xf>
    <xf numFmtId="167" fontId="15" fillId="0" borderId="0" xfId="0" applyNumberFormat="1" applyFont="1"/>
    <xf numFmtId="166" fontId="15" fillId="0" borderId="0" xfId="1" applyNumberFormat="1" applyFont="1"/>
    <xf numFmtId="166" fontId="13" fillId="0" borderId="0" xfId="1" applyNumberFormat="1" applyFont="1" applyAlignment="1">
      <alignment horizontal="left" vertical="center"/>
    </xf>
    <xf numFmtId="0" fontId="15" fillId="0" borderId="0" xfId="0" applyFont="1"/>
    <xf numFmtId="167" fontId="15" fillId="0" borderId="0" xfId="1" applyNumberFormat="1" applyFont="1"/>
    <xf numFmtId="0" fontId="18" fillId="0" borderId="0" xfId="0" applyFont="1" applyAlignment="1">
      <alignment horizontal="left" vertical="center"/>
    </xf>
    <xf numFmtId="167" fontId="13" fillId="0" borderId="4" xfId="1" applyNumberFormat="1" applyFont="1" applyBorder="1" applyAlignment="1">
      <alignment horizontal="center" vertical="center" wrapText="1"/>
    </xf>
    <xf numFmtId="167" fontId="15" fillId="0" borderId="5" xfId="1" applyNumberFormat="1" applyFont="1" applyBorder="1" applyAlignment="1">
      <alignment horizontal="center" vertical="center" wrapText="1"/>
    </xf>
    <xf numFmtId="167" fontId="15" fillId="2" borderId="5" xfId="1" applyNumberFormat="1" applyFont="1" applyFill="1" applyBorder="1" applyAlignment="1">
      <alignment horizontal="center" vertical="center" wrapText="1"/>
    </xf>
    <xf numFmtId="0" fontId="13" fillId="0" borderId="0" xfId="0" applyFont="1" applyAlignment="1">
      <alignment horizontal="left" vertical="center"/>
    </xf>
    <xf numFmtId="0" fontId="15" fillId="0" borderId="0" xfId="0" applyFont="1" applyAlignment="1">
      <alignment vertical="center"/>
    </xf>
    <xf numFmtId="0" fontId="15" fillId="0" borderId="6" xfId="0" applyFont="1" applyBorder="1" applyAlignment="1">
      <alignment horizontal="center" vertical="center" wrapText="1"/>
    </xf>
    <xf numFmtId="0" fontId="15" fillId="0" borderId="6" xfId="0" applyFont="1" applyBorder="1" applyAlignment="1">
      <alignment vertical="center" wrapText="1"/>
    </xf>
    <xf numFmtId="167" fontId="15" fillId="0" borderId="6" xfId="1" applyNumberFormat="1" applyFont="1" applyBorder="1" applyAlignment="1">
      <alignment horizontal="center" vertical="center" wrapText="1"/>
    </xf>
    <xf numFmtId="0" fontId="9" fillId="0" borderId="0" xfId="0" applyFont="1"/>
    <xf numFmtId="0" fontId="15" fillId="0" borderId="0" xfId="0" applyFont="1" applyAlignment="1">
      <alignment horizontal="left"/>
    </xf>
    <xf numFmtId="167" fontId="13" fillId="2" borderId="4" xfId="1" applyNumberFormat="1" applyFont="1" applyFill="1" applyBorder="1" applyAlignment="1">
      <alignment horizontal="center" vertical="center" wrapText="1"/>
    </xf>
    <xf numFmtId="166" fontId="15" fillId="2" borderId="5" xfId="1" applyNumberFormat="1" applyFont="1" applyFill="1" applyBorder="1" applyAlignment="1">
      <alignment horizontal="center" vertical="center" wrapText="1"/>
    </xf>
    <xf numFmtId="167" fontId="15" fillId="2" borderId="6" xfId="1" applyNumberFormat="1" applyFont="1" applyFill="1" applyBorder="1" applyAlignment="1">
      <alignment horizontal="center" vertical="center" wrapText="1"/>
    </xf>
    <xf numFmtId="167" fontId="13" fillId="0" borderId="0" xfId="1" applyNumberFormat="1" applyFont="1" applyFill="1"/>
    <xf numFmtId="0" fontId="13" fillId="0" borderId="0" xfId="0" applyFont="1"/>
    <xf numFmtId="167" fontId="15" fillId="0" borderId="0" xfId="1" applyNumberFormat="1" applyFont="1" applyFill="1"/>
    <xf numFmtId="167" fontId="13" fillId="0" borderId="0" xfId="0" applyNumberFormat="1" applyFont="1"/>
    <xf numFmtId="0" fontId="15" fillId="0" borderId="0" xfId="0" applyFont="1" applyAlignment="1">
      <alignment horizontal="center" vertical="center"/>
    </xf>
    <xf numFmtId="0" fontId="13" fillId="0" borderId="1" xfId="0" applyFont="1" applyBorder="1" applyAlignment="1">
      <alignment horizontal="center" vertical="center" wrapText="1"/>
    </xf>
    <xf numFmtId="0" fontId="15" fillId="0" borderId="5" xfId="0" applyFont="1" applyBorder="1" applyAlignment="1">
      <alignment vertical="center" wrapText="1"/>
    </xf>
    <xf numFmtId="0" fontId="15" fillId="0" borderId="5" xfId="0" applyFont="1" applyBorder="1" applyAlignment="1">
      <alignment horizontal="center" vertical="center" wrapText="1"/>
    </xf>
    <xf numFmtId="0" fontId="15" fillId="0" borderId="9" xfId="0" applyFont="1" applyBorder="1" applyAlignment="1">
      <alignment vertical="center" wrapText="1"/>
    </xf>
    <xf numFmtId="0" fontId="15" fillId="0" borderId="1" xfId="0" applyFont="1" applyBorder="1" applyAlignment="1">
      <alignment horizontal="center" vertical="center" wrapText="1"/>
    </xf>
    <xf numFmtId="166" fontId="15" fillId="0" borderId="0" xfId="1" applyNumberFormat="1" applyFont="1" applyFill="1"/>
    <xf numFmtId="0" fontId="13" fillId="0" borderId="0" xfId="0" applyFont="1" applyAlignment="1">
      <alignment vertical="center"/>
    </xf>
    <xf numFmtId="0" fontId="21" fillId="0" borderId="0" xfId="0" applyFont="1" applyAlignment="1">
      <alignment vertical="center"/>
    </xf>
    <xf numFmtId="3" fontId="21" fillId="0" borderId="0" xfId="0" applyNumberFormat="1" applyFont="1" applyAlignment="1">
      <alignment vertical="center"/>
    </xf>
    <xf numFmtId="3" fontId="22" fillId="0" borderId="0" xfId="0" applyNumberFormat="1" applyFont="1" applyAlignment="1">
      <alignment vertical="center"/>
    </xf>
    <xf numFmtId="0" fontId="22" fillId="0" borderId="0" xfId="0" applyFont="1" applyAlignment="1">
      <alignment vertical="center"/>
    </xf>
    <xf numFmtId="0" fontId="26" fillId="0" borderId="0" xfId="0" applyFont="1" applyAlignment="1">
      <alignment vertical="center"/>
    </xf>
    <xf numFmtId="0" fontId="14" fillId="0" borderId="0" xfId="0" applyFont="1" applyAlignment="1">
      <alignment horizontal="left" vertical="center"/>
    </xf>
    <xf numFmtId="167" fontId="13" fillId="0" borderId="0" xfId="1" applyNumberFormat="1" applyFont="1" applyFill="1" applyAlignment="1">
      <alignment vertical="center"/>
    </xf>
    <xf numFmtId="167" fontId="13" fillId="0" borderId="0" xfId="0" applyNumberFormat="1" applyFont="1" applyAlignment="1">
      <alignment vertical="center"/>
    </xf>
    <xf numFmtId="167" fontId="15" fillId="0" borderId="0" xfId="0" applyNumberFormat="1" applyFont="1" applyAlignment="1">
      <alignment vertical="center"/>
    </xf>
    <xf numFmtId="170" fontId="15" fillId="0" borderId="0" xfId="0" applyNumberFormat="1" applyFont="1" applyAlignment="1">
      <alignment vertical="center"/>
    </xf>
    <xf numFmtId="0" fontId="27" fillId="0" borderId="0" xfId="0" applyFont="1"/>
    <xf numFmtId="0" fontId="17" fillId="0" borderId="0" xfId="0" applyFont="1" applyAlignment="1">
      <alignment horizontal="left" vertical="center"/>
    </xf>
    <xf numFmtId="0" fontId="11" fillId="0" borderId="0" xfId="0" applyFont="1"/>
    <xf numFmtId="0" fontId="30" fillId="0" borderId="0" xfId="0" applyFont="1" applyAlignment="1">
      <alignment vertical="center" wrapText="1"/>
    </xf>
    <xf numFmtId="167" fontId="29" fillId="0" borderId="0" xfId="0" applyNumberFormat="1" applyFont="1" applyAlignment="1">
      <alignment horizontal="center" vertical="center" wrapText="1"/>
    </xf>
    <xf numFmtId="0" fontId="12" fillId="0" borderId="0" xfId="0" applyFont="1"/>
    <xf numFmtId="0" fontId="12" fillId="0" borderId="1" xfId="0" applyFont="1" applyBorder="1" applyAlignment="1">
      <alignment horizontal="center" vertical="center" wrapText="1"/>
    </xf>
    <xf numFmtId="0" fontId="20" fillId="0" borderId="1" xfId="0" applyFont="1" applyBorder="1" applyAlignment="1">
      <alignment horizontal="center" vertical="center" wrapText="1"/>
    </xf>
    <xf numFmtId="0" fontId="32" fillId="0" borderId="1" xfId="0" applyFont="1" applyBorder="1" applyAlignment="1">
      <alignment horizontal="center" vertical="center" wrapText="1"/>
    </xf>
    <xf numFmtId="0" fontId="20" fillId="0" borderId="0" xfId="0" applyFont="1"/>
    <xf numFmtId="0" fontId="23" fillId="0" borderId="1" xfId="0" applyFont="1" applyBorder="1" applyAlignment="1">
      <alignment horizontal="center" vertical="center" wrapText="1"/>
    </xf>
    <xf numFmtId="0" fontId="25" fillId="0" borderId="1" xfId="0" applyFont="1" applyBorder="1" applyAlignment="1">
      <alignment horizontal="center" vertical="center" wrapText="1"/>
    </xf>
    <xf numFmtId="0" fontId="23" fillId="0" borderId="0" xfId="0" applyFont="1"/>
    <xf numFmtId="167" fontId="13" fillId="0" borderId="8" xfId="1" applyNumberFormat="1" applyFont="1" applyFill="1" applyBorder="1" applyAlignment="1">
      <alignment horizontal="center" vertical="center" wrapText="1"/>
    </xf>
    <xf numFmtId="167" fontId="13" fillId="0" borderId="9" xfId="1" applyNumberFormat="1" applyFont="1" applyFill="1" applyBorder="1" applyAlignment="1">
      <alignment horizontal="center" vertical="center" wrapText="1"/>
    </xf>
    <xf numFmtId="166" fontId="13" fillId="0" borderId="9" xfId="1" applyNumberFormat="1" applyFont="1" applyFill="1" applyBorder="1" applyAlignment="1">
      <alignment horizontal="center" vertical="center" wrapText="1"/>
    </xf>
    <xf numFmtId="167" fontId="13" fillId="0" borderId="9" xfId="1" applyNumberFormat="1" applyFont="1" applyFill="1" applyBorder="1" applyAlignment="1">
      <alignment vertical="center" wrapText="1"/>
    </xf>
    <xf numFmtId="3" fontId="13" fillId="0" borderId="0" xfId="0" applyNumberFormat="1" applyFont="1" applyAlignment="1">
      <alignment vertical="center"/>
    </xf>
    <xf numFmtId="166" fontId="15" fillId="0" borderId="9" xfId="6" quotePrefix="1" applyNumberFormat="1" applyFont="1" applyFill="1" applyBorder="1" applyAlignment="1">
      <alignment horizontal="center" vertical="center" wrapText="1"/>
    </xf>
    <xf numFmtId="167" fontId="15" fillId="0" borderId="9" xfId="6" applyNumberFormat="1" applyFont="1" applyFill="1" applyBorder="1" applyAlignment="1">
      <alignment horizontal="left" vertical="center" wrapText="1"/>
    </xf>
    <xf numFmtId="167" fontId="15" fillId="0" borderId="9" xfId="1" applyNumberFormat="1" applyFont="1" applyFill="1" applyBorder="1" applyAlignment="1">
      <alignment horizontal="center" vertical="center" wrapText="1"/>
    </xf>
    <xf numFmtId="167" fontId="15" fillId="0" borderId="9" xfId="1" applyNumberFormat="1" applyFont="1" applyFill="1" applyBorder="1" applyAlignment="1">
      <alignment vertical="center"/>
    </xf>
    <xf numFmtId="166" fontId="15" fillId="0" borderId="9" xfId="1" applyNumberFormat="1" applyFont="1" applyFill="1" applyBorder="1" applyAlignment="1">
      <alignment horizontal="center" vertical="center" wrapText="1"/>
    </xf>
    <xf numFmtId="167" fontId="15" fillId="0" borderId="9" xfId="6" quotePrefix="1" applyNumberFormat="1" applyFont="1" applyFill="1" applyBorder="1" applyAlignment="1">
      <alignment horizontal="center" vertical="center"/>
    </xf>
    <xf numFmtId="0" fontId="15" fillId="0" borderId="9" xfId="7" applyFont="1" applyBorder="1" applyAlignment="1">
      <alignment vertical="center" wrapText="1"/>
    </xf>
    <xf numFmtId="167" fontId="15" fillId="0" borderId="9" xfId="6" applyNumberFormat="1" applyFont="1" applyFill="1" applyBorder="1" applyAlignment="1">
      <alignment vertical="center" wrapText="1"/>
    </xf>
    <xf numFmtId="167" fontId="15" fillId="0" borderId="9" xfId="1" applyNumberFormat="1" applyFont="1" applyFill="1" applyBorder="1" applyAlignment="1">
      <alignment horizontal="right" vertical="center" wrapText="1"/>
    </xf>
    <xf numFmtId="3" fontId="15" fillId="0" borderId="9" xfId="1" applyNumberFormat="1" applyFont="1" applyFill="1" applyBorder="1" applyAlignment="1">
      <alignment horizontal="right" vertical="center" wrapText="1"/>
    </xf>
    <xf numFmtId="0" fontId="15" fillId="0" borderId="9" xfId="0" applyFont="1" applyBorder="1" applyAlignment="1" applyProtection="1">
      <alignment horizontal="left" vertical="center" wrapText="1"/>
      <protection locked="0"/>
    </xf>
    <xf numFmtId="3" fontId="15" fillId="0" borderId="9" xfId="4" applyNumberFormat="1" applyFont="1" applyBorder="1" applyAlignment="1">
      <alignment vertical="center" wrapText="1"/>
    </xf>
    <xf numFmtId="0" fontId="15" fillId="0" borderId="9" xfId="4" applyFont="1" applyBorder="1" applyAlignment="1">
      <alignment vertical="center" wrapText="1"/>
    </xf>
    <xf numFmtId="0" fontId="15" fillId="0" borderId="9" xfId="0" applyFont="1" applyBorder="1" applyAlignment="1">
      <alignment horizontal="left" vertical="center" wrapText="1"/>
    </xf>
    <xf numFmtId="167" fontId="13" fillId="0" borderId="9" xfId="1" quotePrefix="1" applyNumberFormat="1" applyFont="1" applyFill="1" applyBorder="1" applyAlignment="1">
      <alignment horizontal="center" vertical="center" wrapText="1"/>
    </xf>
    <xf numFmtId="3" fontId="13" fillId="0" borderId="9" xfId="4" applyNumberFormat="1" applyFont="1" applyBorder="1" applyAlignment="1">
      <alignment horizontal="left" vertical="center" wrapText="1"/>
    </xf>
    <xf numFmtId="167" fontId="15" fillId="0" borderId="9" xfId="1" quotePrefix="1" applyNumberFormat="1" applyFont="1" applyFill="1" applyBorder="1" applyAlignment="1">
      <alignment horizontal="center" vertical="center" wrapText="1"/>
    </xf>
    <xf numFmtId="167" fontId="15" fillId="0" borderId="9" xfId="1" applyNumberFormat="1" applyFont="1" applyFill="1" applyBorder="1" applyAlignment="1">
      <alignment horizontal="left" vertical="center" wrapText="1"/>
    </xf>
    <xf numFmtId="167" fontId="13" fillId="0" borderId="9" xfId="1" applyNumberFormat="1" applyFont="1" applyFill="1" applyBorder="1" applyAlignment="1">
      <alignment horizontal="left" vertical="center" wrapText="1"/>
    </xf>
    <xf numFmtId="167" fontId="13" fillId="0" borderId="9" xfId="1" applyNumberFormat="1" applyFont="1" applyFill="1" applyBorder="1" applyAlignment="1">
      <alignment vertical="center"/>
    </xf>
    <xf numFmtId="0" fontId="13" fillId="0" borderId="9" xfId="0" applyFont="1" applyBorder="1" applyAlignment="1">
      <alignment horizontal="center" vertical="center" wrapText="1"/>
    </xf>
    <xf numFmtId="0" fontId="13" fillId="0" borderId="9" xfId="0" applyFont="1" applyBorder="1" applyAlignment="1">
      <alignment vertical="center" wrapText="1"/>
    </xf>
    <xf numFmtId="0" fontId="13" fillId="0" borderId="14" xfId="0" applyFont="1" applyBorder="1" applyAlignment="1">
      <alignment horizontal="center" vertical="center" wrapText="1"/>
    </xf>
    <xf numFmtId="0" fontId="13" fillId="0" borderId="14" xfId="0" applyFont="1" applyBorder="1" applyAlignment="1">
      <alignment vertical="center" wrapText="1"/>
    </xf>
    <xf numFmtId="167" fontId="13" fillId="0" borderId="14" xfId="1" applyNumberFormat="1" applyFont="1" applyFill="1" applyBorder="1" applyAlignment="1">
      <alignment horizontal="center" vertical="center" wrapText="1"/>
    </xf>
    <xf numFmtId="167" fontId="13" fillId="0" borderId="14" xfId="1" applyNumberFormat="1" applyFont="1" applyFill="1" applyBorder="1" applyAlignment="1">
      <alignment vertical="center"/>
    </xf>
    <xf numFmtId="0" fontId="13" fillId="0" borderId="10" xfId="0" applyFont="1" applyBorder="1" applyAlignment="1">
      <alignment horizontal="center" vertical="center" wrapText="1"/>
    </xf>
    <xf numFmtId="0" fontId="13" fillId="0" borderId="10" xfId="0" applyFont="1" applyBorder="1" applyAlignment="1">
      <alignment vertical="center" wrapText="1"/>
    </xf>
    <xf numFmtId="167" fontId="13" fillId="0" borderId="10" xfId="1" applyNumberFormat="1" applyFont="1" applyFill="1" applyBorder="1" applyAlignment="1">
      <alignment horizontal="center" vertical="center" wrapText="1"/>
    </xf>
    <xf numFmtId="167" fontId="13" fillId="0" borderId="10" xfId="1" applyNumberFormat="1" applyFont="1" applyFill="1" applyBorder="1" applyAlignment="1">
      <alignment vertical="center"/>
    </xf>
    <xf numFmtId="166" fontId="15" fillId="0" borderId="10" xfId="1" applyNumberFormat="1" applyFont="1" applyFill="1" applyBorder="1" applyAlignment="1">
      <alignment horizontal="center" vertical="center" wrapText="1"/>
    </xf>
    <xf numFmtId="0" fontId="33" fillId="0" borderId="0" xfId="0" applyFont="1"/>
    <xf numFmtId="166" fontId="13" fillId="2" borderId="4" xfId="1" applyNumberFormat="1" applyFont="1" applyFill="1" applyBorder="1" applyAlignment="1">
      <alignment horizontal="center" vertical="center" wrapText="1"/>
    </xf>
    <xf numFmtId="166" fontId="13" fillId="0" borderId="4" xfId="1" applyNumberFormat="1" applyFont="1" applyBorder="1" applyAlignment="1">
      <alignment horizontal="center" vertical="center" wrapText="1"/>
    </xf>
    <xf numFmtId="0" fontId="16" fillId="0" borderId="1" xfId="0" applyFont="1" applyBorder="1" applyAlignment="1">
      <alignment horizontal="center" vertical="center" wrapText="1"/>
    </xf>
    <xf numFmtId="3" fontId="16" fillId="0" borderId="9" xfId="15" applyNumberFormat="1" applyFont="1" applyFill="1" applyBorder="1" applyAlignment="1">
      <alignment vertical="center" wrapText="1"/>
    </xf>
    <xf numFmtId="3" fontId="16" fillId="0" borderId="9" xfId="0" applyNumberFormat="1" applyFont="1" applyBorder="1" applyAlignment="1">
      <alignment vertical="center" wrapText="1"/>
    </xf>
    <xf numFmtId="3" fontId="16" fillId="0" borderId="10" xfId="15" applyNumberFormat="1" applyFont="1" applyFill="1" applyBorder="1" applyAlignment="1">
      <alignment vertical="center" wrapText="1"/>
    </xf>
    <xf numFmtId="3" fontId="16" fillId="0" borderId="10" xfId="0" applyNumberFormat="1" applyFont="1" applyBorder="1" applyAlignment="1">
      <alignment vertical="center" wrapText="1"/>
    </xf>
    <xf numFmtId="0" fontId="12" fillId="0" borderId="0" xfId="0" applyFont="1" applyAlignment="1">
      <alignment vertical="center"/>
    </xf>
    <xf numFmtId="0" fontId="11" fillId="0" borderId="0" xfId="0" applyFont="1" applyAlignment="1">
      <alignment vertical="center"/>
    </xf>
    <xf numFmtId="3" fontId="11" fillId="0" borderId="0" xfId="0" applyNumberFormat="1" applyFont="1" applyAlignment="1">
      <alignment vertical="center"/>
    </xf>
    <xf numFmtId="166" fontId="12" fillId="0" borderId="0" xfId="1" applyNumberFormat="1" applyFont="1" applyAlignment="1">
      <alignment horizontal="left" vertical="center"/>
    </xf>
    <xf numFmtId="0" fontId="11" fillId="0" borderId="1" xfId="0" applyFont="1" applyBorder="1" applyAlignment="1">
      <alignment horizontal="center" vertical="center" wrapText="1"/>
    </xf>
    <xf numFmtId="167" fontId="16" fillId="0" borderId="0" xfId="1" applyNumberFormat="1" applyFont="1" applyBorder="1" applyAlignment="1">
      <alignment horizontal="center" vertical="center" wrapText="1"/>
    </xf>
    <xf numFmtId="0" fontId="13" fillId="2" borderId="0" xfId="0" applyFont="1" applyFill="1" applyAlignment="1">
      <alignment vertical="center"/>
    </xf>
    <xf numFmtId="167" fontId="15" fillId="2" borderId="0" xfId="0" applyNumberFormat="1" applyFont="1" applyFill="1" applyAlignment="1">
      <alignment vertical="center"/>
    </xf>
    <xf numFmtId="0" fontId="12" fillId="0" borderId="12" xfId="0" applyFont="1" applyBorder="1" applyAlignment="1">
      <alignment horizontal="center" vertical="center" wrapText="1"/>
    </xf>
    <xf numFmtId="0" fontId="29" fillId="0" borderId="0" xfId="0" applyFont="1" applyAlignment="1">
      <alignment horizontal="center" vertical="center" wrapText="1"/>
    </xf>
    <xf numFmtId="0" fontId="15" fillId="2" borderId="0" xfId="0" applyFont="1" applyFill="1" applyAlignment="1">
      <alignment vertical="center"/>
    </xf>
    <xf numFmtId="0" fontId="13" fillId="0" borderId="2" xfId="0" applyFont="1" applyBorder="1" applyAlignment="1">
      <alignment horizontal="center" vertical="center" wrapText="1"/>
    </xf>
    <xf numFmtId="0" fontId="15" fillId="0" borderId="2" xfId="0" applyFont="1" applyBorder="1" applyAlignment="1">
      <alignment horizontal="center" vertical="center" wrapText="1"/>
    </xf>
    <xf numFmtId="3" fontId="20" fillId="0" borderId="8" xfId="0" applyNumberFormat="1" applyFont="1" applyBorder="1" applyAlignment="1">
      <alignment horizontal="right" vertical="center" wrapText="1"/>
    </xf>
    <xf numFmtId="3" fontId="20" fillId="0" borderId="9" xfId="0" applyNumberFormat="1" applyFont="1" applyBorder="1" applyAlignment="1">
      <alignment horizontal="right" vertical="center" wrapText="1"/>
    </xf>
    <xf numFmtId="0" fontId="13" fillId="0" borderId="0" xfId="0" applyFont="1" applyAlignment="1">
      <alignment horizontal="center" vertical="center"/>
    </xf>
    <xf numFmtId="0" fontId="18" fillId="0" borderId="0" xfId="0" applyFont="1" applyAlignment="1">
      <alignment horizontal="right" vertical="center"/>
    </xf>
    <xf numFmtId="43" fontId="11" fillId="0" borderId="0" xfId="1" applyFont="1"/>
    <xf numFmtId="167" fontId="11" fillId="0" borderId="0" xfId="0" applyNumberFormat="1" applyFont="1"/>
    <xf numFmtId="0" fontId="16" fillId="0" borderId="9" xfId="0" applyFont="1" applyBorder="1" applyAlignment="1">
      <alignment horizontal="center" vertical="center" wrapText="1"/>
    </xf>
    <xf numFmtId="0" fontId="16" fillId="0" borderId="9" xfId="0" applyFont="1" applyBorder="1" applyAlignment="1">
      <alignment vertical="center" wrapText="1"/>
    </xf>
    <xf numFmtId="0" fontId="15" fillId="0" borderId="9" xfId="0" applyFont="1" applyBorder="1" applyAlignment="1">
      <alignment horizontal="center" vertical="center" wrapText="1"/>
    </xf>
    <xf numFmtId="0" fontId="20" fillId="0" borderId="9" xfId="0" applyFont="1" applyBorder="1" applyAlignment="1">
      <alignment vertical="center" wrapText="1"/>
    </xf>
    <xf numFmtId="0" fontId="18" fillId="0" borderId="0" xfId="0" applyFont="1"/>
    <xf numFmtId="167" fontId="18" fillId="0" borderId="0" xfId="1" applyNumberFormat="1" applyFont="1"/>
    <xf numFmtId="0" fontId="35" fillId="0" borderId="9" xfId="0" applyFont="1" applyBorder="1" applyAlignment="1">
      <alignment horizontal="center" vertical="center" wrapText="1"/>
    </xf>
    <xf numFmtId="0" fontId="35" fillId="0" borderId="9" xfId="0" applyFont="1" applyBorder="1" applyAlignment="1">
      <alignment vertical="center" wrapText="1"/>
    </xf>
    <xf numFmtId="0" fontId="30" fillId="0" borderId="9" xfId="0" applyFont="1" applyBorder="1" applyAlignment="1">
      <alignment horizontal="center" vertical="center" wrapText="1"/>
    </xf>
    <xf numFmtId="0" fontId="30" fillId="0" borderId="9" xfId="0" applyFont="1" applyBorder="1" applyAlignment="1">
      <alignment vertical="center" wrapText="1"/>
    </xf>
    <xf numFmtId="0" fontId="20" fillId="0" borderId="9" xfId="0" applyFont="1" applyBorder="1" applyAlignment="1">
      <alignment horizontal="center" vertical="center" wrapText="1"/>
    </xf>
    <xf numFmtId="3" fontId="30" fillId="0" borderId="9" xfId="5" applyNumberFormat="1" applyFont="1" applyBorder="1" applyAlignment="1">
      <alignment vertical="center" wrapText="1"/>
    </xf>
    <xf numFmtId="0" fontId="35" fillId="0" borderId="9" xfId="0" quotePrefix="1" applyFont="1" applyBorder="1" applyAlignment="1">
      <alignment horizontal="center" vertical="center" wrapText="1"/>
    </xf>
    <xf numFmtId="0" fontId="35" fillId="0" borderId="9" xfId="0" applyFont="1" applyBorder="1" applyAlignment="1">
      <alignment horizontal="left" vertical="center" wrapText="1"/>
    </xf>
    <xf numFmtId="0" fontId="30" fillId="0" borderId="10" xfId="0" applyFont="1" applyBorder="1" applyAlignment="1">
      <alignment horizontal="center" vertical="center" wrapText="1"/>
    </xf>
    <xf numFmtId="0" fontId="30" fillId="0" borderId="10" xfId="0" applyFont="1" applyBorder="1" applyAlignment="1">
      <alignment vertical="center" wrapText="1"/>
    </xf>
    <xf numFmtId="3" fontId="20" fillId="0" borderId="9" xfId="1" applyNumberFormat="1" applyFont="1" applyFill="1" applyBorder="1" applyAlignment="1">
      <alignment horizontal="right" vertical="center" wrapText="1"/>
    </xf>
    <xf numFmtId="3" fontId="16" fillId="0" borderId="9" xfId="1" applyNumberFormat="1" applyFont="1" applyFill="1" applyBorder="1" applyAlignment="1">
      <alignment horizontal="right" vertical="center" wrapText="1"/>
    </xf>
    <xf numFmtId="0" fontId="38" fillId="0" borderId="0" xfId="0" applyFont="1" applyAlignment="1">
      <alignment vertical="center"/>
    </xf>
    <xf numFmtId="3" fontId="38" fillId="0" borderId="0" xfId="0" applyNumberFormat="1" applyFont="1" applyAlignment="1">
      <alignment vertical="center"/>
    </xf>
    <xf numFmtId="0" fontId="20" fillId="0" borderId="8" xfId="0" applyFont="1" applyBorder="1" applyAlignment="1">
      <alignment horizontal="center" vertical="center" wrapText="1"/>
    </xf>
    <xf numFmtId="0" fontId="20" fillId="0" borderId="8" xfId="0" applyFont="1" applyBorder="1" applyAlignment="1">
      <alignment vertical="center" wrapText="1"/>
    </xf>
    <xf numFmtId="166" fontId="20" fillId="0" borderId="8" xfId="1" applyNumberFormat="1" applyFont="1" applyFill="1" applyBorder="1" applyAlignment="1">
      <alignment horizontal="center" vertical="center" wrapText="1"/>
    </xf>
    <xf numFmtId="3" fontId="20" fillId="0" borderId="9" xfId="0" applyNumberFormat="1" applyFont="1" applyBorder="1" applyAlignment="1">
      <alignment vertical="center" wrapText="1"/>
    </xf>
    <xf numFmtId="166" fontId="20" fillId="0" borderId="9" xfId="1" applyNumberFormat="1" applyFont="1" applyFill="1" applyBorder="1" applyAlignment="1">
      <alignment horizontal="center" vertical="center" wrapText="1"/>
    </xf>
    <xf numFmtId="3" fontId="20" fillId="0" borderId="9" xfId="1" applyNumberFormat="1" applyFont="1" applyFill="1" applyBorder="1" applyAlignment="1">
      <alignment vertical="center" wrapText="1"/>
    </xf>
    <xf numFmtId="3" fontId="16" fillId="0" borderId="9" xfId="0" applyNumberFormat="1" applyFont="1" applyBorder="1" applyAlignment="1">
      <alignment horizontal="right" vertical="center" wrapText="1"/>
    </xf>
    <xf numFmtId="167" fontId="16" fillId="0" borderId="9" xfId="0" applyNumberFormat="1" applyFont="1" applyBorder="1" applyAlignment="1">
      <alignment horizontal="center" vertical="center" wrapText="1"/>
    </xf>
    <xf numFmtId="166" fontId="16" fillId="0" borderId="9" xfId="1" applyNumberFormat="1" applyFont="1" applyFill="1" applyBorder="1" applyAlignment="1">
      <alignment horizontal="center" vertical="center" wrapText="1"/>
    </xf>
    <xf numFmtId="0" fontId="31" fillId="0" borderId="9" xfId="0" applyFont="1" applyBorder="1" applyAlignment="1">
      <alignment horizontal="center" vertical="center" wrapText="1"/>
    </xf>
    <xf numFmtId="0" fontId="31" fillId="0" borderId="9" xfId="0" applyFont="1" applyBorder="1" applyAlignment="1">
      <alignment vertical="center" wrapText="1"/>
    </xf>
    <xf numFmtId="3" fontId="31" fillId="0" borderId="9" xfId="0" applyNumberFormat="1" applyFont="1" applyBorder="1" applyAlignment="1">
      <alignment horizontal="right" vertical="center" wrapText="1"/>
    </xf>
    <xf numFmtId="3" fontId="31" fillId="0" borderId="9" xfId="0" applyNumberFormat="1" applyFont="1" applyBorder="1" applyAlignment="1">
      <alignment vertical="center" wrapText="1"/>
    </xf>
    <xf numFmtId="3" fontId="31" fillId="0" borderId="9" xfId="1" applyNumberFormat="1" applyFont="1" applyFill="1" applyBorder="1" applyAlignment="1">
      <alignment horizontal="right" vertical="center" wrapText="1"/>
    </xf>
    <xf numFmtId="166" fontId="31" fillId="0" borderId="9" xfId="1" applyNumberFormat="1" applyFont="1" applyFill="1" applyBorder="1" applyAlignment="1">
      <alignment horizontal="center" vertical="center" wrapText="1"/>
    </xf>
    <xf numFmtId="3" fontId="40" fillId="0" borderId="0" xfId="0" applyNumberFormat="1" applyFont="1" applyAlignment="1">
      <alignment vertical="center"/>
    </xf>
    <xf numFmtId="3" fontId="14" fillId="0" borderId="0" xfId="0" applyNumberFormat="1" applyFont="1" applyAlignment="1">
      <alignment vertical="center"/>
    </xf>
    <xf numFmtId="0" fontId="14" fillId="0" borderId="0" xfId="0" applyFont="1" applyAlignment="1">
      <alignment vertical="center"/>
    </xf>
    <xf numFmtId="167" fontId="31" fillId="0" borderId="9" xfId="0" applyNumberFormat="1" applyFont="1" applyBorder="1" applyAlignment="1">
      <alignment horizontal="center" vertical="center" wrapText="1"/>
    </xf>
    <xf numFmtId="167" fontId="20" fillId="0" borderId="9" xfId="0" applyNumberFormat="1" applyFont="1" applyBorder="1" applyAlignment="1">
      <alignment horizontal="center" vertical="center" wrapText="1"/>
    </xf>
    <xf numFmtId="0" fontId="16" fillId="0" borderId="9" xfId="4" applyFont="1" applyBorder="1" applyAlignment="1">
      <alignment vertical="center" wrapText="1"/>
    </xf>
    <xf numFmtId="3" fontId="16" fillId="0" borderId="9" xfId="5" applyNumberFormat="1" applyFont="1" applyBorder="1" applyAlignment="1">
      <alignment vertical="center" wrapText="1"/>
    </xf>
    <xf numFmtId="3" fontId="16" fillId="0" borderId="9" xfId="4" applyNumberFormat="1" applyFont="1" applyBorder="1" applyAlignment="1">
      <alignment vertical="center" wrapText="1"/>
    </xf>
    <xf numFmtId="0" fontId="16" fillId="0" borderId="9" xfId="8" applyFont="1" applyBorder="1" applyAlignment="1">
      <alignment vertical="center" wrapText="1"/>
    </xf>
    <xf numFmtId="0" fontId="20" fillId="0" borderId="10" xfId="0" applyFont="1" applyBorder="1" applyAlignment="1">
      <alignment horizontal="center" vertical="center" wrapText="1"/>
    </xf>
    <xf numFmtId="0" fontId="20" fillId="0" borderId="10" xfId="0" applyFont="1" applyBorder="1" applyAlignment="1">
      <alignment vertical="center" wrapText="1"/>
    </xf>
    <xf numFmtId="3" fontId="20" fillId="0" borderId="10" xfId="0" applyNumberFormat="1" applyFont="1" applyBorder="1" applyAlignment="1">
      <alignment horizontal="right" vertical="center" wrapText="1"/>
    </xf>
    <xf numFmtId="166" fontId="20" fillId="0" borderId="10" xfId="1" applyNumberFormat="1" applyFont="1" applyFill="1" applyBorder="1" applyAlignment="1">
      <alignment horizontal="center" vertical="center" wrapText="1"/>
    </xf>
    <xf numFmtId="0" fontId="28" fillId="0" borderId="0" xfId="0" applyFont="1" applyAlignment="1">
      <alignment vertical="center"/>
    </xf>
    <xf numFmtId="167" fontId="11" fillId="0" borderId="0" xfId="1" applyNumberFormat="1" applyFont="1" applyAlignment="1">
      <alignment vertical="center"/>
    </xf>
    <xf numFmtId="167" fontId="11" fillId="0" borderId="0" xfId="0" applyNumberFormat="1" applyFont="1" applyAlignment="1">
      <alignment vertical="center"/>
    </xf>
    <xf numFmtId="0" fontId="42" fillId="0" borderId="0" xfId="0" applyFont="1" applyAlignment="1">
      <alignment horizontal="center" vertical="center"/>
    </xf>
    <xf numFmtId="0" fontId="34" fillId="0" borderId="0" xfId="0" applyFont="1" applyAlignment="1">
      <alignment vertical="center"/>
    </xf>
    <xf numFmtId="0" fontId="42" fillId="0" borderId="0" xfId="0" applyFont="1" applyAlignment="1">
      <alignment vertical="center"/>
    </xf>
    <xf numFmtId="0" fontId="37" fillId="0" borderId="0" xfId="0" applyFont="1" applyAlignment="1">
      <alignment horizontal="center" vertical="center"/>
    </xf>
    <xf numFmtId="0" fontId="43" fillId="0" borderId="0" xfId="0" applyFont="1" applyAlignment="1">
      <alignment vertical="center"/>
    </xf>
    <xf numFmtId="0" fontId="30" fillId="0" borderId="1" xfId="0" applyFont="1" applyBorder="1" applyAlignment="1">
      <alignment horizontal="center" vertical="center" wrapText="1"/>
    </xf>
    <xf numFmtId="3" fontId="34" fillId="0" borderId="0" xfId="0" applyNumberFormat="1" applyFont="1" applyAlignment="1">
      <alignment vertical="center"/>
    </xf>
    <xf numFmtId="0" fontId="45" fillId="0" borderId="0" xfId="0" applyFont="1" applyAlignment="1">
      <alignment vertical="center"/>
    </xf>
    <xf numFmtId="0" fontId="30" fillId="0" borderId="1" xfId="0" quotePrefix="1" applyFont="1" applyBorder="1" applyAlignment="1">
      <alignment horizontal="center" vertical="center" wrapText="1"/>
    </xf>
    <xf numFmtId="3" fontId="45" fillId="0" borderId="0" xfId="0" applyNumberFormat="1" applyFont="1" applyAlignment="1">
      <alignment vertical="center"/>
    </xf>
    <xf numFmtId="0" fontId="30" fillId="0" borderId="8" xfId="0" applyFont="1" applyBorder="1" applyAlignment="1">
      <alignment horizontal="center" vertical="center" wrapText="1"/>
    </xf>
    <xf numFmtId="0" fontId="30" fillId="0" borderId="8" xfId="0" applyFont="1" applyBorder="1" applyAlignment="1">
      <alignment vertical="center" wrapText="1"/>
    </xf>
    <xf numFmtId="3" fontId="30" fillId="0" borderId="8" xfId="0" applyNumberFormat="1" applyFont="1" applyBorder="1" applyAlignment="1">
      <alignment vertical="center" wrapText="1"/>
    </xf>
    <xf numFmtId="166" fontId="30" fillId="0" borderId="8" xfId="1" applyNumberFormat="1" applyFont="1" applyFill="1" applyBorder="1" applyAlignment="1">
      <alignment vertical="center" wrapText="1"/>
    </xf>
    <xf numFmtId="3" fontId="30" fillId="0" borderId="9" xfId="0" applyNumberFormat="1" applyFont="1" applyBorder="1" applyAlignment="1">
      <alignment vertical="center" wrapText="1"/>
    </xf>
    <xf numFmtId="166" fontId="30" fillId="0" borderId="9" xfId="1" applyNumberFormat="1" applyFont="1" applyFill="1" applyBorder="1" applyAlignment="1">
      <alignment vertical="center" wrapText="1"/>
    </xf>
    <xf numFmtId="3" fontId="35" fillId="0" borderId="9" xfId="0" applyNumberFormat="1" applyFont="1" applyBorder="1" applyAlignment="1">
      <alignment vertical="center" wrapText="1"/>
    </xf>
    <xf numFmtId="166" fontId="35" fillId="0" borderId="9" xfId="1" applyNumberFormat="1" applyFont="1" applyFill="1" applyBorder="1" applyAlignment="1">
      <alignment vertical="center" wrapText="1"/>
    </xf>
    <xf numFmtId="167" fontId="35" fillId="0" borderId="9" xfId="1" applyNumberFormat="1" applyFont="1" applyFill="1" applyBorder="1" applyAlignment="1">
      <alignment vertical="center" wrapText="1"/>
    </xf>
    <xf numFmtId="0" fontId="46" fillId="0" borderId="0" xfId="0" applyFont="1" applyAlignment="1">
      <alignment vertical="center"/>
    </xf>
    <xf numFmtId="0" fontId="10" fillId="0" borderId="0" xfId="0" applyFont="1" applyAlignment="1">
      <alignment vertical="center" wrapText="1"/>
    </xf>
    <xf numFmtId="3" fontId="30" fillId="0" borderId="10" xfId="0" applyNumberFormat="1" applyFont="1" applyBorder="1" applyAlignment="1">
      <alignment vertical="center" wrapText="1"/>
    </xf>
    <xf numFmtId="166" fontId="30" fillId="0" borderId="10" xfId="1" applyNumberFormat="1" applyFont="1" applyFill="1" applyBorder="1" applyAlignment="1">
      <alignment vertical="center" wrapText="1"/>
    </xf>
    <xf numFmtId="0" fontId="34" fillId="0" borderId="0" xfId="0" applyFont="1" applyAlignment="1">
      <alignment horizontal="center" vertical="center"/>
    </xf>
    <xf numFmtId="0" fontId="13" fillId="0" borderId="8" xfId="0" applyFont="1" applyBorder="1" applyAlignment="1">
      <alignment horizontal="center" vertical="center" wrapText="1"/>
    </xf>
    <xf numFmtId="0" fontId="13" fillId="0" borderId="8" xfId="0" applyFont="1" applyBorder="1" applyAlignment="1">
      <alignment vertical="center" wrapText="1"/>
    </xf>
    <xf numFmtId="166" fontId="13" fillId="0" borderId="8" xfId="1" applyNumberFormat="1" applyFont="1" applyFill="1" applyBorder="1" applyAlignment="1">
      <alignment horizontal="center" vertical="center" wrapText="1"/>
    </xf>
    <xf numFmtId="166" fontId="13" fillId="0" borderId="10" xfId="1" applyNumberFormat="1" applyFont="1" applyFill="1" applyBorder="1" applyAlignment="1">
      <alignment horizontal="center" vertical="center" wrapText="1"/>
    </xf>
    <xf numFmtId="167" fontId="48" fillId="0" borderId="0" xfId="0" applyNumberFormat="1" applyFont="1" applyAlignment="1">
      <alignment horizontal="center" vertical="center" wrapText="1"/>
    </xf>
    <xf numFmtId="171" fontId="13" fillId="0" borderId="0" xfId="0" applyNumberFormat="1" applyFont="1"/>
    <xf numFmtId="167" fontId="27" fillId="0" borderId="0" xfId="0" applyNumberFormat="1" applyFont="1"/>
    <xf numFmtId="167" fontId="49" fillId="0" borderId="0" xfId="0" applyNumberFormat="1" applyFont="1"/>
    <xf numFmtId="167" fontId="23" fillId="0" borderId="0" xfId="0" applyNumberFormat="1" applyFont="1"/>
    <xf numFmtId="0" fontId="13" fillId="0" borderId="0" xfId="0" applyFont="1" applyAlignment="1">
      <alignment vertical="center" wrapText="1"/>
    </xf>
    <xf numFmtId="3" fontId="15" fillId="2" borderId="9" xfId="4" applyNumberFormat="1" applyFont="1" applyFill="1" applyBorder="1" applyAlignment="1">
      <alignment vertical="center" wrapText="1"/>
    </xf>
    <xf numFmtId="0" fontId="15" fillId="2" borderId="9" xfId="4" applyFont="1" applyFill="1" applyBorder="1" applyAlignment="1">
      <alignment vertical="center" wrapText="1"/>
    </xf>
    <xf numFmtId="167" fontId="51" fillId="2" borderId="9" xfId="1" applyNumberFormat="1" applyFont="1" applyFill="1" applyBorder="1" applyAlignment="1">
      <alignment horizontal="center" vertical="center" wrapText="1"/>
    </xf>
    <xf numFmtId="0" fontId="15" fillId="2" borderId="9" xfId="0" applyFont="1" applyFill="1" applyBorder="1" applyAlignment="1" applyProtection="1">
      <alignment horizontal="left" vertical="center" wrapText="1"/>
      <protection locked="0"/>
    </xf>
    <xf numFmtId="0" fontId="53" fillId="0" borderId="0" xfId="0" applyFont="1"/>
    <xf numFmtId="167" fontId="12" fillId="0" borderId="0" xfId="1" applyNumberFormat="1" applyFont="1" applyAlignment="1"/>
    <xf numFmtId="0" fontId="7" fillId="2" borderId="9" xfId="0" applyFont="1" applyFill="1" applyBorder="1" applyAlignment="1">
      <alignment vertical="center" wrapText="1"/>
    </xf>
    <xf numFmtId="3" fontId="13" fillId="0" borderId="9" xfId="0" applyNumberFormat="1" applyFont="1" applyBorder="1" applyAlignment="1">
      <alignment vertical="center" wrapText="1"/>
    </xf>
    <xf numFmtId="167" fontId="15" fillId="3" borderId="9" xfId="6" quotePrefix="1" applyNumberFormat="1" applyFont="1" applyFill="1" applyBorder="1" applyAlignment="1">
      <alignment horizontal="center" vertical="center"/>
    </xf>
    <xf numFmtId="167" fontId="15" fillId="3" borderId="9" xfId="6" applyNumberFormat="1" applyFont="1" applyFill="1" applyBorder="1" applyAlignment="1">
      <alignment vertical="center" wrapText="1"/>
    </xf>
    <xf numFmtId="167" fontId="15" fillId="3" borderId="9" xfId="1" applyNumberFormat="1" applyFont="1" applyFill="1" applyBorder="1" applyAlignment="1">
      <alignment horizontal="center" vertical="center" wrapText="1"/>
    </xf>
    <xf numFmtId="166" fontId="15" fillId="3" borderId="9" xfId="1" applyNumberFormat="1" applyFont="1" applyFill="1" applyBorder="1" applyAlignment="1">
      <alignment horizontal="center" vertical="center" wrapText="1"/>
    </xf>
    <xf numFmtId="0" fontId="15" fillId="3" borderId="0" xfId="0" applyFont="1" applyFill="1" applyAlignment="1">
      <alignment vertical="center"/>
    </xf>
    <xf numFmtId="167" fontId="15" fillId="3" borderId="9" xfId="1" applyNumberFormat="1" applyFont="1" applyFill="1" applyBorder="1" applyAlignment="1">
      <alignment vertical="center"/>
    </xf>
    <xf numFmtId="0" fontId="6" fillId="2" borderId="1"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15" fillId="2" borderId="9" xfId="0" applyFont="1" applyFill="1" applyBorder="1" applyAlignment="1">
      <alignment horizontal="center" vertical="center" wrapText="1"/>
    </xf>
    <xf numFmtId="0" fontId="15" fillId="2" borderId="9" xfId="0" applyFont="1" applyFill="1" applyBorder="1" applyAlignment="1">
      <alignment vertical="center" wrapText="1"/>
    </xf>
    <xf numFmtId="3" fontId="13" fillId="0" borderId="8" xfId="0" applyNumberFormat="1" applyFont="1" applyBorder="1" applyAlignment="1">
      <alignment horizontal="right" vertical="center" wrapText="1"/>
    </xf>
    <xf numFmtId="3" fontId="13" fillId="0" borderId="9" xfId="0" applyNumberFormat="1" applyFont="1" applyBorder="1" applyAlignment="1">
      <alignment horizontal="right" vertical="center" wrapText="1"/>
    </xf>
    <xf numFmtId="3" fontId="13" fillId="0" borderId="9" xfId="1" applyNumberFormat="1" applyFont="1" applyFill="1" applyBorder="1" applyAlignment="1">
      <alignment vertical="center" wrapText="1"/>
    </xf>
    <xf numFmtId="3" fontId="15" fillId="0" borderId="9" xfId="0" applyNumberFormat="1" applyFont="1" applyBorder="1" applyAlignment="1">
      <alignment horizontal="right" vertical="center" wrapText="1"/>
    </xf>
    <xf numFmtId="3" fontId="15" fillId="0" borderId="9" xfId="0" applyNumberFormat="1" applyFont="1" applyBorder="1" applyAlignment="1">
      <alignment vertical="center" wrapText="1"/>
    </xf>
    <xf numFmtId="167" fontId="15" fillId="0" borderId="9" xfId="0" applyNumberFormat="1" applyFont="1" applyBorder="1" applyAlignment="1">
      <alignment horizontal="center" vertical="center" wrapText="1"/>
    </xf>
    <xf numFmtId="0" fontId="18" fillId="0" borderId="9" xfId="0" applyFont="1" applyBorder="1" applyAlignment="1">
      <alignment horizontal="center" vertical="center" wrapText="1"/>
    </xf>
    <xf numFmtId="0" fontId="18" fillId="0" borderId="9" xfId="0" applyFont="1" applyBorder="1" applyAlignment="1">
      <alignment vertical="center" wrapText="1"/>
    </xf>
    <xf numFmtId="3" fontId="18" fillId="0" borderId="9" xfId="0" applyNumberFormat="1" applyFont="1" applyBorder="1" applyAlignment="1">
      <alignment horizontal="right" vertical="center" wrapText="1"/>
    </xf>
    <xf numFmtId="3" fontId="18" fillId="0" borderId="9" xfId="0" applyNumberFormat="1" applyFont="1" applyBorder="1" applyAlignment="1">
      <alignment vertical="center" wrapText="1"/>
    </xf>
    <xf numFmtId="3" fontId="18" fillId="0" borderId="9" xfId="1" applyNumberFormat="1" applyFont="1" applyFill="1" applyBorder="1" applyAlignment="1">
      <alignment horizontal="right" vertical="center" wrapText="1"/>
    </xf>
    <xf numFmtId="166" fontId="18" fillId="0" borderId="9" xfId="1" applyNumberFormat="1" applyFont="1" applyFill="1" applyBorder="1" applyAlignment="1">
      <alignment horizontal="center" vertical="center" wrapText="1"/>
    </xf>
    <xf numFmtId="167" fontId="18" fillId="0" borderId="9" xfId="0" applyNumberFormat="1" applyFont="1" applyBorder="1" applyAlignment="1">
      <alignment horizontal="center" vertical="center" wrapText="1"/>
    </xf>
    <xf numFmtId="167" fontId="13" fillId="0" borderId="9" xfId="0" applyNumberFormat="1" applyFont="1" applyBorder="1" applyAlignment="1">
      <alignment horizontal="center" vertical="center" wrapText="1"/>
    </xf>
    <xf numFmtId="3" fontId="13" fillId="0" borderId="9" xfId="1" applyNumberFormat="1" applyFont="1" applyFill="1" applyBorder="1" applyAlignment="1">
      <alignment horizontal="right" vertical="center" wrapText="1"/>
    </xf>
    <xf numFmtId="3" fontId="13" fillId="0" borderId="10" xfId="0" applyNumberFormat="1" applyFont="1" applyBorder="1" applyAlignment="1">
      <alignment horizontal="right" vertical="center" wrapText="1"/>
    </xf>
    <xf numFmtId="3" fontId="15" fillId="0" borderId="0" xfId="0" applyNumberFormat="1" applyFont="1" applyAlignment="1">
      <alignment vertical="center"/>
    </xf>
    <xf numFmtId="0" fontId="11" fillId="0" borderId="3" xfId="0" applyFont="1" applyBorder="1" applyAlignment="1">
      <alignment horizontal="center" vertical="center" wrapText="1"/>
    </xf>
    <xf numFmtId="0" fontId="16" fillId="0" borderId="0" xfId="0" applyFont="1"/>
    <xf numFmtId="167" fontId="13" fillId="0" borderId="8" xfId="1" applyNumberFormat="1" applyFont="1" applyBorder="1" applyAlignment="1">
      <alignment horizontal="right" vertical="center" wrapText="1"/>
    </xf>
    <xf numFmtId="167" fontId="15" fillId="0" borderId="9" xfId="1" applyNumberFormat="1" applyFont="1" applyBorder="1" applyAlignment="1">
      <alignment horizontal="right" vertical="center" wrapText="1"/>
    </xf>
    <xf numFmtId="167" fontId="15" fillId="2" borderId="9" xfId="1" applyNumberFormat="1" applyFont="1" applyFill="1" applyBorder="1" applyAlignment="1">
      <alignment horizontal="right" vertical="center" wrapText="1"/>
    </xf>
    <xf numFmtId="167" fontId="13" fillId="0" borderId="9" xfId="1" applyNumberFormat="1" applyFont="1" applyBorder="1" applyAlignment="1">
      <alignment horizontal="right" vertical="center" wrapText="1"/>
    </xf>
    <xf numFmtId="167" fontId="13" fillId="2" borderId="9" xfId="1" applyNumberFormat="1" applyFont="1" applyFill="1" applyBorder="1" applyAlignment="1">
      <alignment horizontal="right" vertical="center" wrapText="1"/>
    </xf>
    <xf numFmtId="167" fontId="13" fillId="0" borderId="9" xfId="1" applyNumberFormat="1" applyFont="1" applyFill="1" applyBorder="1" applyAlignment="1">
      <alignment horizontal="right" vertical="center" wrapText="1"/>
    </xf>
    <xf numFmtId="167" fontId="13" fillId="0" borderId="10" xfId="1" applyNumberFormat="1" applyFont="1" applyFill="1" applyBorder="1" applyAlignment="1">
      <alignment horizontal="right" vertical="center" wrapText="1"/>
    </xf>
    <xf numFmtId="166" fontId="13" fillId="0" borderId="8" xfId="1" applyNumberFormat="1" applyFont="1" applyBorder="1" applyAlignment="1">
      <alignment horizontal="right" vertical="center" wrapText="1"/>
    </xf>
    <xf numFmtId="166" fontId="15" fillId="0" borderId="9" xfId="1" applyNumberFormat="1" applyFont="1" applyBorder="1" applyAlignment="1">
      <alignment horizontal="right" vertical="center" wrapText="1"/>
    </xf>
    <xf numFmtId="166" fontId="13" fillId="0" borderId="9" xfId="1" applyNumberFormat="1" applyFont="1" applyBorder="1" applyAlignment="1">
      <alignment horizontal="right" vertical="center" wrapText="1"/>
    </xf>
    <xf numFmtId="166" fontId="13" fillId="0" borderId="10" xfId="1" applyNumberFormat="1" applyFont="1" applyBorder="1" applyAlignment="1">
      <alignment horizontal="right" vertical="center" wrapText="1"/>
    </xf>
    <xf numFmtId="0" fontId="31" fillId="0" borderId="0" xfId="0" applyFont="1" applyAlignment="1">
      <alignment horizontal="center" vertical="center"/>
    </xf>
    <xf numFmtId="0" fontId="6" fillId="0" borderId="15" xfId="0" applyFont="1" applyBorder="1" applyAlignment="1">
      <alignment horizontal="center" vertical="center" wrapText="1"/>
    </xf>
    <xf numFmtId="0" fontId="6" fillId="0" borderId="15" xfId="0" applyFont="1" applyBorder="1" applyAlignment="1">
      <alignment vertical="center" wrapText="1"/>
    </xf>
    <xf numFmtId="3" fontId="6" fillId="0" borderId="15" xfId="0" applyNumberFormat="1" applyFont="1" applyBorder="1" applyAlignment="1">
      <alignment horizontal="right" vertical="center" wrapText="1"/>
    </xf>
    <xf numFmtId="3" fontId="13" fillId="2" borderId="15" xfId="1" applyNumberFormat="1" applyFont="1" applyFill="1" applyBorder="1" applyAlignment="1">
      <alignment horizontal="right" vertical="center" wrapText="1"/>
    </xf>
    <xf numFmtId="3" fontId="6" fillId="0" borderId="15" xfId="13" applyNumberFormat="1" applyFont="1" applyBorder="1" applyAlignment="1">
      <alignment horizontal="right" vertical="center" wrapText="1"/>
    </xf>
    <xf numFmtId="0" fontId="6" fillId="0" borderId="9" xfId="0" applyFont="1" applyBorder="1" applyAlignment="1">
      <alignment horizontal="center" vertical="center" wrapText="1"/>
    </xf>
    <xf numFmtId="0" fontId="6" fillId="0" borderId="9" xfId="0" applyFont="1" applyBorder="1" applyAlignment="1">
      <alignment vertical="center" wrapText="1"/>
    </xf>
    <xf numFmtId="3" fontId="6" fillId="0" borderId="9" xfId="0" applyNumberFormat="1" applyFont="1" applyBorder="1" applyAlignment="1">
      <alignment horizontal="right" vertical="center" wrapText="1"/>
    </xf>
    <xf numFmtId="3" fontId="6" fillId="0" borderId="9" xfId="13" applyNumberFormat="1" applyFont="1" applyBorder="1" applyAlignment="1">
      <alignment horizontal="right" vertical="center" wrapText="1"/>
    </xf>
    <xf numFmtId="0" fontId="8" fillId="0" borderId="9" xfId="0" applyFont="1" applyBorder="1" applyAlignment="1">
      <alignment horizontal="center" vertical="center" wrapText="1"/>
    </xf>
    <xf numFmtId="0" fontId="8" fillId="0" borderId="9" xfId="0" applyFont="1" applyBorder="1" applyAlignment="1">
      <alignment vertical="center" wrapText="1"/>
    </xf>
    <xf numFmtId="3" fontId="8" fillId="0" borderId="9" xfId="0" applyNumberFormat="1" applyFont="1" applyBorder="1" applyAlignment="1">
      <alignment horizontal="right" vertical="center" wrapText="1"/>
    </xf>
    <xf numFmtId="3" fontId="8" fillId="0" borderId="9" xfId="13" applyNumberFormat="1" applyFont="1" applyBorder="1" applyAlignment="1">
      <alignment horizontal="right" vertical="center" wrapText="1"/>
    </xf>
    <xf numFmtId="0" fontId="8" fillId="0" borderId="9" xfId="0" quotePrefix="1" applyFont="1" applyBorder="1" applyAlignment="1">
      <alignment horizontal="center" vertical="center" wrapText="1"/>
    </xf>
    <xf numFmtId="0" fontId="7" fillId="0" borderId="9" xfId="0" applyFont="1" applyBorder="1" applyAlignment="1">
      <alignment horizontal="center" vertical="center" wrapText="1"/>
    </xf>
    <xf numFmtId="0" fontId="7" fillId="0" borderId="9" xfId="0" applyFont="1" applyBorder="1" applyAlignment="1">
      <alignment vertical="center" wrapText="1"/>
    </xf>
    <xf numFmtId="3" fontId="7" fillId="0" borderId="9" xfId="0" applyNumberFormat="1" applyFont="1" applyBorder="1" applyAlignment="1">
      <alignment horizontal="right" vertical="center" wrapText="1"/>
    </xf>
    <xf numFmtId="3" fontId="7" fillId="0" borderId="9" xfId="13" applyNumberFormat="1" applyFont="1" applyBorder="1" applyAlignment="1">
      <alignment horizontal="right" vertical="center" wrapText="1"/>
    </xf>
    <xf numFmtId="3" fontId="6" fillId="0" borderId="9" xfId="0" applyNumberFormat="1" applyFont="1" applyBorder="1" applyAlignment="1">
      <alignment vertical="center" wrapText="1"/>
    </xf>
    <xf numFmtId="0" fontId="7" fillId="0" borderId="9" xfId="0" quotePrefix="1" applyFont="1" applyBorder="1" applyAlignment="1">
      <alignment horizontal="center" vertical="center" wrapText="1"/>
    </xf>
    <xf numFmtId="0" fontId="6" fillId="0" borderId="9" xfId="0" quotePrefix="1" applyFont="1" applyBorder="1" applyAlignment="1">
      <alignment horizontal="center" vertical="center" wrapText="1"/>
    </xf>
    <xf numFmtId="0" fontId="6" fillId="0" borderId="10" xfId="0" applyFont="1" applyBorder="1" applyAlignment="1">
      <alignment horizontal="center" vertical="center" wrapText="1"/>
    </xf>
    <xf numFmtId="0" fontId="6" fillId="0" borderId="10" xfId="0" applyFont="1" applyBorder="1" applyAlignment="1">
      <alignment vertical="center" wrapText="1"/>
    </xf>
    <xf numFmtId="3" fontId="6" fillId="0" borderId="10" xfId="0" applyNumberFormat="1" applyFont="1" applyBorder="1" applyAlignment="1">
      <alignment horizontal="right" vertical="center" wrapText="1"/>
    </xf>
    <xf numFmtId="3" fontId="6" fillId="0" borderId="10" xfId="13" applyNumberFormat="1" applyFont="1" applyBorder="1" applyAlignment="1">
      <alignment horizontal="right" vertical="center" wrapText="1"/>
    </xf>
    <xf numFmtId="0" fontId="13" fillId="2" borderId="9" xfId="0" applyFont="1" applyFill="1" applyBorder="1" applyAlignment="1">
      <alignment horizontal="center" vertical="center" wrapText="1"/>
    </xf>
    <xf numFmtId="0" fontId="13" fillId="2" borderId="9" xfId="0" applyFont="1" applyFill="1" applyBorder="1" applyAlignment="1">
      <alignment vertical="center" wrapText="1"/>
    </xf>
    <xf numFmtId="3" fontId="13" fillId="2" borderId="9" xfId="0" applyNumberFormat="1" applyFont="1" applyFill="1" applyBorder="1" applyAlignment="1">
      <alignment horizontal="right" vertical="center" wrapText="1"/>
    </xf>
    <xf numFmtId="166" fontId="13" fillId="2" borderId="9" xfId="1" applyNumberFormat="1" applyFont="1" applyFill="1" applyBorder="1" applyAlignment="1">
      <alignment horizontal="center" vertical="center" wrapText="1"/>
    </xf>
    <xf numFmtId="3" fontId="15" fillId="2" borderId="9" xfId="0" applyNumberFormat="1" applyFont="1" applyFill="1" applyBorder="1" applyAlignment="1">
      <alignment horizontal="right" vertical="center" wrapText="1"/>
    </xf>
    <xf numFmtId="166" fontId="15" fillId="2" borderId="9" xfId="1" applyNumberFormat="1" applyFont="1" applyFill="1" applyBorder="1" applyAlignment="1">
      <alignment horizontal="center" vertical="center" wrapText="1"/>
    </xf>
    <xf numFmtId="0" fontId="15" fillId="2" borderId="9" xfId="8" applyFont="1" applyFill="1" applyBorder="1" applyAlignment="1">
      <alignment vertical="center" wrapText="1"/>
    </xf>
    <xf numFmtId="3" fontId="13" fillId="0" borderId="8" xfId="0" applyNumberFormat="1" applyFont="1" applyBorder="1" applyAlignment="1">
      <alignment vertical="center" wrapText="1"/>
    </xf>
    <xf numFmtId="167" fontId="15" fillId="0" borderId="9" xfId="1" applyNumberFormat="1" applyFont="1" applyFill="1" applyBorder="1" applyAlignment="1">
      <alignment vertical="center" wrapText="1"/>
    </xf>
    <xf numFmtId="3" fontId="13" fillId="0" borderId="10" xfId="0" applyNumberFormat="1" applyFont="1" applyBorder="1" applyAlignment="1">
      <alignment vertical="center" wrapText="1"/>
    </xf>
    <xf numFmtId="0" fontId="15" fillId="0" borderId="9" xfId="0" applyFont="1" applyBorder="1"/>
    <xf numFmtId="166" fontId="13" fillId="0" borderId="8" xfId="1" applyNumberFormat="1" applyFont="1" applyFill="1" applyBorder="1" applyAlignment="1">
      <alignment horizontal="right" vertical="center" wrapText="1"/>
    </xf>
    <xf numFmtId="166" fontId="13" fillId="0" borderId="9" xfId="1" applyNumberFormat="1" applyFont="1" applyFill="1" applyBorder="1" applyAlignment="1">
      <alignment horizontal="right" vertical="center" wrapText="1"/>
    </xf>
    <xf numFmtId="166" fontId="13" fillId="2" borderId="9" xfId="1" applyNumberFormat="1" applyFont="1" applyFill="1" applyBorder="1" applyAlignment="1">
      <alignment horizontal="right" vertical="center" wrapText="1"/>
    </xf>
    <xf numFmtId="166" fontId="15" fillId="2" borderId="9" xfId="1" applyNumberFormat="1" applyFont="1" applyFill="1" applyBorder="1" applyAlignment="1">
      <alignment horizontal="right" vertical="center" wrapText="1"/>
    </xf>
    <xf numFmtId="166" fontId="15" fillId="0" borderId="9" xfId="1" applyNumberFormat="1" applyFont="1" applyFill="1" applyBorder="1" applyAlignment="1">
      <alignment horizontal="right" vertical="center" wrapText="1"/>
    </xf>
    <xf numFmtId="0" fontId="15" fillId="0" borderId="10" xfId="0" applyFont="1" applyBorder="1"/>
    <xf numFmtId="167" fontId="15" fillId="0" borderId="10" xfId="1" applyNumberFormat="1" applyFont="1" applyFill="1" applyBorder="1" applyAlignment="1">
      <alignment horizontal="center" vertical="center" wrapText="1"/>
    </xf>
    <xf numFmtId="167" fontId="15" fillId="0" borderId="9" xfId="1" quotePrefix="1" applyNumberFormat="1" applyFont="1" applyFill="1" applyBorder="1" applyAlignment="1">
      <alignment horizontal="left" vertical="center" wrapText="1"/>
    </xf>
    <xf numFmtId="0" fontId="12" fillId="0" borderId="0" xfId="0" applyFont="1" applyAlignment="1">
      <alignment horizontal="right"/>
    </xf>
    <xf numFmtId="0" fontId="16" fillId="0" borderId="0" xfId="0" applyFont="1" applyAlignment="1">
      <alignment vertical="center"/>
    </xf>
    <xf numFmtId="3" fontId="11" fillId="0" borderId="0" xfId="0" applyNumberFormat="1" applyFont="1"/>
    <xf numFmtId="0" fontId="16" fillId="0" borderId="15" xfId="0" applyFont="1" applyBorder="1" applyAlignment="1">
      <alignment horizontal="center" vertical="center" wrapText="1"/>
    </xf>
    <xf numFmtId="0" fontId="20" fillId="0" borderId="15" xfId="0" applyFont="1" applyBorder="1" applyAlignment="1">
      <alignment horizontal="center" vertical="center" wrapText="1"/>
    </xf>
    <xf numFmtId="3" fontId="20" fillId="0" borderId="5" xfId="0" applyNumberFormat="1" applyFont="1" applyBorder="1" applyAlignment="1">
      <alignment horizontal="right" vertical="center" wrapText="1"/>
    </xf>
    <xf numFmtId="9" fontId="20" fillId="0" borderId="5" xfId="19" applyFont="1" applyFill="1" applyBorder="1" applyAlignment="1">
      <alignment horizontal="right" vertical="center" wrapText="1"/>
    </xf>
    <xf numFmtId="3" fontId="16" fillId="0" borderId="9" xfId="15" applyNumberFormat="1" applyFont="1" applyFill="1" applyBorder="1" applyAlignment="1">
      <alignment horizontal="right" vertical="center" wrapText="1"/>
    </xf>
    <xf numFmtId="3" fontId="16" fillId="0" borderId="5" xfId="0" applyNumberFormat="1" applyFont="1" applyBorder="1" applyAlignment="1">
      <alignment vertical="center" wrapText="1"/>
    </xf>
    <xf numFmtId="9" fontId="16" fillId="0" borderId="5" xfId="19" applyFont="1" applyFill="1" applyBorder="1" applyAlignment="1">
      <alignment horizontal="right" vertical="center" wrapText="1"/>
    </xf>
    <xf numFmtId="0" fontId="20" fillId="0" borderId="14" xfId="0" applyFont="1" applyBorder="1" applyAlignment="1">
      <alignment vertical="center" wrapText="1"/>
    </xf>
    <xf numFmtId="169" fontId="20" fillId="0" borderId="5" xfId="15" applyNumberFormat="1" applyFont="1" applyFill="1" applyBorder="1" applyAlignment="1">
      <alignment horizontal="right" vertical="center" wrapText="1"/>
    </xf>
    <xf numFmtId="3" fontId="16" fillId="0" borderId="14" xfId="0" applyNumberFormat="1" applyFont="1" applyBorder="1" applyAlignment="1">
      <alignment vertical="center" wrapText="1"/>
    </xf>
    <xf numFmtId="0" fontId="16" fillId="0" borderId="10" xfId="0" applyFont="1" applyBorder="1" applyAlignment="1">
      <alignment horizontal="center" vertical="center" wrapText="1"/>
    </xf>
    <xf numFmtId="0" fontId="16" fillId="0" borderId="16" xfId="0" applyFont="1" applyBorder="1" applyAlignment="1">
      <alignment vertical="center" wrapText="1"/>
    </xf>
    <xf numFmtId="9" fontId="16" fillId="0" borderId="17" xfId="19" applyFont="1" applyFill="1" applyBorder="1" applyAlignment="1">
      <alignment horizontal="right" vertical="center" wrapText="1"/>
    </xf>
    <xf numFmtId="9" fontId="16" fillId="0" borderId="18" xfId="19" applyFont="1" applyFill="1" applyBorder="1" applyAlignment="1">
      <alignment horizontal="right" vertical="center" wrapText="1"/>
    </xf>
    <xf numFmtId="0" fontId="17" fillId="0" borderId="0" xfId="0" applyFont="1" applyAlignment="1">
      <alignment horizontal="center" vertical="center" wrapText="1"/>
    </xf>
    <xf numFmtId="0" fontId="18" fillId="0" borderId="0" xfId="0" applyFont="1" applyAlignment="1">
      <alignment horizontal="center" vertical="center" wrapText="1"/>
    </xf>
    <xf numFmtId="0" fontId="6" fillId="2" borderId="1" xfId="0" applyFont="1" applyFill="1" applyBorder="1" applyAlignment="1">
      <alignment horizontal="center" vertical="center" wrapText="1"/>
    </xf>
    <xf numFmtId="0" fontId="12" fillId="0" borderId="0" xfId="0" applyFont="1" applyAlignment="1">
      <alignment horizontal="center" vertical="center" wrapText="1"/>
    </xf>
    <xf numFmtId="0" fontId="14" fillId="0" borderId="0" xfId="0" applyFont="1" applyAlignment="1">
      <alignment horizontal="center" vertical="center"/>
    </xf>
    <xf numFmtId="0" fontId="14" fillId="0" borderId="7" xfId="0" applyFont="1" applyBorder="1" applyAlignment="1">
      <alignment horizontal="right"/>
    </xf>
    <xf numFmtId="0" fontId="12" fillId="0" borderId="1" xfId="0" applyFont="1" applyBorder="1" applyAlignment="1">
      <alignment horizontal="center" vertical="center" wrapText="1"/>
    </xf>
    <xf numFmtId="0" fontId="12" fillId="0" borderId="11" xfId="0" applyFont="1" applyBorder="1" applyAlignment="1">
      <alignment horizontal="center" vertical="center" wrapText="1"/>
    </xf>
    <xf numFmtId="0" fontId="12" fillId="0" borderId="12" xfId="0" applyFont="1" applyBorder="1" applyAlignment="1">
      <alignment horizontal="center" vertical="center" wrapText="1"/>
    </xf>
    <xf numFmtId="0" fontId="12" fillId="0" borderId="13" xfId="0" applyFont="1" applyBorder="1" applyAlignment="1">
      <alignment horizontal="center" vertical="center" wrapText="1"/>
    </xf>
    <xf numFmtId="0" fontId="20" fillId="0" borderId="1" xfId="0" applyFont="1" applyBorder="1" applyAlignment="1">
      <alignment horizontal="center" vertical="center" wrapText="1"/>
    </xf>
    <xf numFmtId="0" fontId="32" fillId="0" borderId="11" xfId="0" applyFont="1" applyBorder="1" applyAlignment="1">
      <alignment horizontal="center" vertical="center" wrapText="1"/>
    </xf>
    <xf numFmtId="0" fontId="32" fillId="0" borderId="13" xfId="0" applyFont="1" applyBorder="1" applyAlignment="1">
      <alignment horizontal="center" vertical="center" wrapText="1"/>
    </xf>
    <xf numFmtId="0" fontId="12" fillId="0" borderId="0" xfId="0" applyFont="1" applyAlignment="1">
      <alignment horizontal="center"/>
    </xf>
    <xf numFmtId="0" fontId="24" fillId="0" borderId="1" xfId="0" applyFont="1" applyBorder="1" applyAlignment="1">
      <alignment horizontal="center" vertical="center" wrapText="1"/>
    </xf>
    <xf numFmtId="0" fontId="29" fillId="0" borderId="0" xfId="0" applyFont="1" applyAlignment="1">
      <alignment horizontal="center" vertical="center" wrapText="1"/>
    </xf>
    <xf numFmtId="0" fontId="31" fillId="0" borderId="7" xfId="0" applyFont="1" applyBorder="1" applyAlignment="1">
      <alignment horizontal="right"/>
    </xf>
    <xf numFmtId="0" fontId="18" fillId="0" borderId="7" xfId="0" applyFont="1" applyBorder="1" applyAlignment="1">
      <alignment horizontal="right" vertical="center"/>
    </xf>
    <xf numFmtId="0" fontId="13" fillId="0" borderId="2" xfId="0" applyFont="1" applyBorder="1" applyAlignment="1">
      <alignment horizontal="center" vertical="center" wrapText="1"/>
    </xf>
    <xf numFmtId="0" fontId="16" fillId="0" borderId="1" xfId="0" applyFont="1" applyBorder="1" applyAlignment="1">
      <alignment horizontal="center" vertical="center" wrapText="1"/>
    </xf>
    <xf numFmtId="0" fontId="12" fillId="0" borderId="1" xfId="0" applyFont="1" applyBorder="1" applyAlignment="1">
      <alignment horizontal="center" vertical="center"/>
    </xf>
    <xf numFmtId="0" fontId="20" fillId="0" borderId="0" xfId="0" applyFont="1" applyAlignment="1">
      <alignment horizontal="left" vertical="center" wrapText="1"/>
    </xf>
    <xf numFmtId="0" fontId="20" fillId="0" borderId="0" xfId="0" applyFont="1" applyAlignment="1">
      <alignment horizontal="center" vertical="center" wrapText="1"/>
    </xf>
    <xf numFmtId="0" fontId="20" fillId="0" borderId="0" xfId="0" applyFont="1" applyAlignment="1">
      <alignment horizontal="center" vertical="center"/>
    </xf>
    <xf numFmtId="0" fontId="31" fillId="0" borderId="0" xfId="0" applyFont="1" applyAlignment="1">
      <alignment horizontal="center" vertical="center"/>
    </xf>
    <xf numFmtId="0" fontId="41" fillId="0" borderId="0" xfId="0" applyFont="1" applyAlignment="1">
      <alignment horizontal="left" vertical="center" wrapText="1"/>
    </xf>
    <xf numFmtId="0" fontId="39" fillId="0" borderId="7" xfId="0" applyFont="1" applyBorder="1" applyAlignment="1">
      <alignment horizontal="right"/>
    </xf>
    <xf numFmtId="0" fontId="47" fillId="0" borderId="0" xfId="0" applyFont="1" applyAlignment="1">
      <alignment vertical="center" wrapText="1"/>
    </xf>
    <xf numFmtId="0" fontId="36" fillId="0" borderId="0" xfId="0" applyFont="1" applyAlignment="1">
      <alignment vertical="center" wrapText="1"/>
    </xf>
    <xf numFmtId="0" fontId="30" fillId="0" borderId="0" xfId="0" applyFont="1" applyAlignment="1">
      <alignment horizontal="center" vertical="center" wrapText="1"/>
    </xf>
    <xf numFmtId="0" fontId="44" fillId="0" borderId="7" xfId="0" applyFont="1" applyBorder="1" applyAlignment="1">
      <alignment vertical="center"/>
    </xf>
    <xf numFmtId="0" fontId="30" fillId="0" borderId="1" xfId="0" applyFont="1" applyBorder="1" applyAlignment="1">
      <alignment horizontal="center" vertical="center" wrapText="1"/>
    </xf>
    <xf numFmtId="0" fontId="31" fillId="0" borderId="0" xfId="0" applyFont="1" applyAlignment="1">
      <alignment horizontal="left" vertical="center" wrapText="1"/>
    </xf>
    <xf numFmtId="0" fontId="12" fillId="0" borderId="0" xfId="0" applyFont="1" applyAlignment="1">
      <alignment horizontal="left"/>
    </xf>
    <xf numFmtId="0" fontId="50" fillId="0" borderId="7" xfId="0" applyFont="1" applyBorder="1" applyAlignment="1">
      <alignment horizontal="right"/>
    </xf>
  </cellXfs>
  <cellStyles count="20">
    <cellStyle name="AutoFormat-Optionen" xfId="3" xr:uid="{00000000-0005-0000-0000-000000000000}"/>
    <cellStyle name="AutoFormat-Optionen 2 2" xfId="7" xr:uid="{00000000-0005-0000-0000-000001000000}"/>
    <cellStyle name="AutoFormat-Optionen 4" xfId="4" xr:uid="{00000000-0005-0000-0000-000002000000}"/>
    <cellStyle name="Comma" xfId="1" builtinId="3"/>
    <cellStyle name="Comma 10 2" xfId="11" xr:uid="{00000000-0005-0000-0000-000004000000}"/>
    <cellStyle name="Comma 10 3" xfId="6" xr:uid="{00000000-0005-0000-0000-000005000000}"/>
    <cellStyle name="Comma 10 3 2" xfId="18" xr:uid="{D8A17EA8-035E-40A3-BB9B-B0FC92123B5B}"/>
    <cellStyle name="Comma 14" xfId="9" xr:uid="{00000000-0005-0000-0000-000006000000}"/>
    <cellStyle name="Comma 2" xfId="15" xr:uid="{00000000-0005-0000-0000-000007000000}"/>
    <cellStyle name="Comma 2 2 2" xfId="2" xr:uid="{00000000-0005-0000-0000-000008000000}"/>
    <cellStyle name="Comma 23 2" xfId="10" xr:uid="{00000000-0005-0000-0000-000009000000}"/>
    <cellStyle name="Comma 3" xfId="16" xr:uid="{00000000-0005-0000-0000-00000A000000}"/>
    <cellStyle name="Normal" xfId="0" builtinId="0"/>
    <cellStyle name="Normal 2 2" xfId="12" xr:uid="{00000000-0005-0000-0000-00000C000000}"/>
    <cellStyle name="Normal 3 4" xfId="5" xr:uid="{00000000-0005-0000-0000-00000D000000}"/>
    <cellStyle name="Normal 6 6" xfId="8" xr:uid="{00000000-0005-0000-0000-00000E000000}"/>
    <cellStyle name="Percent" xfId="13" builtinId="5"/>
    <cellStyle name="Percent 9 3" xfId="14" xr:uid="{00000000-0005-0000-0000-000010000000}"/>
    <cellStyle name="Percent 9 3 2" xfId="17" xr:uid="{00000000-0005-0000-0000-000011000000}"/>
    <cellStyle name="Percent 9 3 2 2 2" xfId="19" xr:uid="{9C8FAEB0-A89C-4B59-A96E-D41DA4E13C4E}"/>
  </cellStyles>
  <dxfs count="0"/>
  <tableStyles count="0" defaultTableStyle="TableStyleMedium2" defaultPivotStyle="PivotStyleMedium9"/>
  <colors>
    <mruColors>
      <color rgb="FF00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TONG%20HOP%202024/QUYET%20TOAN%20NS&#272;P%202023/HO%20SO%20TRINH%20CHINH%20THUC/Trinh%20H&#272;ND/Bieu%20Quyet%20toan%202023%20theo%20Nghi%20&#273;&#7883;nh%2031%20cua%20Chinh%20phu.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quachtlong/AppData/Local/Temp/VNPT%20Plugin/Nghi%20quyet%2083_Bieu%20kem%20the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hu nội địa"/>
      <sheetName val="Tong hop phan cong"/>
      <sheetName val="Bieu 48"/>
      <sheetName val="Bieu 50"/>
      <sheetName val="Bieu 51"/>
      <sheetName val="bieu 52"/>
      <sheetName val="bieu 53"/>
      <sheetName val="Bieu 54 "/>
      <sheetName val="Bieu 54"/>
      <sheetName val="Bieu 58"/>
      <sheetName val="Bieu 59"/>
      <sheetName val="Bieu 61_Hien"/>
      <sheetName val="Bieu 61"/>
      <sheetName val="Biêu 63"/>
      <sheetName val="Biêu 64"/>
    </sheetNames>
    <sheetDataSet>
      <sheetData sheetId="0"/>
      <sheetData sheetId="1"/>
      <sheetData sheetId="2"/>
      <sheetData sheetId="3"/>
      <sheetData sheetId="4">
        <row r="7">
          <cell r="E7">
            <v>13280792.109786998</v>
          </cell>
        </row>
        <row r="10">
          <cell r="E10">
            <v>934996.24130999972</v>
          </cell>
        </row>
        <row r="11">
          <cell r="E11">
            <v>929539.24130999972</v>
          </cell>
        </row>
        <row r="17">
          <cell r="E17">
            <v>92630.203923000008</v>
          </cell>
        </row>
        <row r="20">
          <cell r="E20">
            <v>5302320.2779660001</v>
          </cell>
        </row>
        <row r="22">
          <cell r="E22">
            <v>2565200.1236549998</v>
          </cell>
        </row>
        <row r="23">
          <cell r="E23">
            <v>10721.876273000002</v>
          </cell>
        </row>
        <row r="24">
          <cell r="E24">
            <v>1649.2660000000001</v>
          </cell>
        </row>
        <row r="25">
          <cell r="E25">
            <v>1000</v>
          </cell>
        </row>
        <row r="27">
          <cell r="E27">
            <v>109404.806157</v>
          </cell>
        </row>
        <row r="28">
          <cell r="E28">
            <v>8583.1678499999998</v>
          </cell>
        </row>
        <row r="29">
          <cell r="E29">
            <v>23104</v>
          </cell>
        </row>
        <row r="30">
          <cell r="E30">
            <v>12206.46313</v>
          </cell>
        </row>
        <row r="36">
          <cell r="E36">
            <v>975133.13161100016</v>
          </cell>
        </row>
        <row r="37">
          <cell r="E37">
            <v>898937.91782800015</v>
          </cell>
        </row>
        <row r="52">
          <cell r="D52">
            <v>79855</v>
          </cell>
        </row>
        <row r="53">
          <cell r="D53">
            <v>0</v>
          </cell>
        </row>
        <row r="64">
          <cell r="E64">
            <v>4429726.1766579999</v>
          </cell>
        </row>
        <row r="65">
          <cell r="E65">
            <v>198741.61247100003</v>
          </cell>
        </row>
      </sheetData>
      <sheetData sheetId="5">
        <row r="13">
          <cell r="D13">
            <v>1367322.7954070005</v>
          </cell>
        </row>
        <row r="29">
          <cell r="D29">
            <v>1956062.0657650002</v>
          </cell>
        </row>
        <row r="31">
          <cell r="D31">
            <v>8667.0846550000006</v>
          </cell>
        </row>
        <row r="43">
          <cell r="D43">
            <v>1649.2660000000001</v>
          </cell>
        </row>
        <row r="44">
          <cell r="D44">
            <v>1000</v>
          </cell>
        </row>
        <row r="47">
          <cell r="D47">
            <v>109404.806157</v>
          </cell>
        </row>
        <row r="48">
          <cell r="D48">
            <v>8583.1678499999998</v>
          </cell>
        </row>
        <row r="49">
          <cell r="D49">
            <v>23104</v>
          </cell>
        </row>
        <row r="50">
          <cell r="D50">
            <v>2859544.5055379998</v>
          </cell>
        </row>
        <row r="51">
          <cell r="D51">
            <v>122849.305433</v>
          </cell>
        </row>
      </sheetData>
      <sheetData sheetId="6">
        <row r="25">
          <cell r="G25">
            <v>1649.2660000000001</v>
          </cell>
        </row>
        <row r="29">
          <cell r="G29">
            <v>8583.1678499999998</v>
          </cell>
        </row>
        <row r="65">
          <cell r="G65">
            <v>2859544.5055379998</v>
          </cell>
        </row>
        <row r="66">
          <cell r="G66">
            <v>122849.305433</v>
          </cell>
        </row>
      </sheetData>
      <sheetData sheetId="7"/>
      <sheetData sheetId="8"/>
      <sheetData sheetId="9">
        <row r="12">
          <cell r="U12">
            <v>2079204.2235629996</v>
          </cell>
        </row>
      </sheetData>
      <sheetData sheetId="10"/>
      <sheetData sheetId="11"/>
      <sheetData sheetId="12">
        <row r="13">
          <cell r="AB13">
            <v>37864.328269999998</v>
          </cell>
          <cell r="AC13">
            <v>120647.24831899996</v>
          </cell>
          <cell r="AD13">
            <v>32551.847166999996</v>
          </cell>
          <cell r="AK13">
            <v>9754.4888759999994</v>
          </cell>
          <cell r="AR13">
            <v>116205.24054599997</v>
          </cell>
        </row>
        <row r="43">
          <cell r="AD43">
            <v>298128.06991399999</v>
          </cell>
          <cell r="AK43">
            <v>233244.728741</v>
          </cell>
          <cell r="AR43">
            <v>594042.59138999996</v>
          </cell>
        </row>
      </sheetData>
      <sheetData sheetId="13"/>
      <sheetData sheetId="1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hu nội địa"/>
      <sheetName val="Tong hop phan cong"/>
      <sheetName val="Bieu 48"/>
      <sheetName val="Bieu 50_"/>
      <sheetName val="Bieu 51_"/>
      <sheetName val="bieu 52_"/>
      <sheetName val="bieu 53_"/>
      <sheetName val="Bieu 54_"/>
      <sheetName val="Bieu 54"/>
      <sheetName val="Bieu 58"/>
      <sheetName val="Bieu 59"/>
      <sheetName val="Bieu 61_Hien"/>
      <sheetName val="Bieu 61"/>
      <sheetName val="Biêu 63"/>
      <sheetName val="Biêu 64"/>
    </sheetNames>
    <sheetDataSet>
      <sheetData sheetId="0" refreshError="1"/>
      <sheetData sheetId="1" refreshError="1"/>
      <sheetData sheetId="2" refreshError="1"/>
      <sheetData sheetId="3" refreshError="1"/>
      <sheetData sheetId="4">
        <row r="24">
          <cell r="D24">
            <v>9500.851999999999</v>
          </cell>
        </row>
        <row r="27">
          <cell r="D27">
            <v>51310</v>
          </cell>
        </row>
      </sheetData>
      <sheetData sheetId="5">
        <row r="9">
          <cell r="D9">
            <v>2007071</v>
          </cell>
        </row>
      </sheetData>
      <sheetData sheetId="6">
        <row r="25">
          <cell r="G25">
            <v>9500.851999999999</v>
          </cell>
        </row>
        <row r="26">
          <cell r="G26">
            <v>1000</v>
          </cell>
        </row>
        <row r="106">
          <cell r="G106">
            <v>1326874.6171550001</v>
          </cell>
        </row>
        <row r="107">
          <cell r="G107">
            <v>331567.81606899999</v>
          </cell>
        </row>
      </sheetData>
      <sheetData sheetId="7">
        <row r="116">
          <cell r="T116">
            <v>533490.10800000001</v>
          </cell>
        </row>
      </sheetData>
      <sheetData sheetId="8" refreshError="1"/>
      <sheetData sheetId="9" refreshError="1"/>
      <sheetData sheetId="10">
        <row r="10">
          <cell r="K10">
            <v>2540560.6151000001</v>
          </cell>
        </row>
      </sheetData>
      <sheetData sheetId="11" refreshError="1"/>
      <sheetData sheetId="12" refreshError="1"/>
      <sheetData sheetId="13" refreshError="1"/>
      <sheetData sheetId="14"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47"/>
  <sheetViews>
    <sheetView zoomScale="90" zoomScaleNormal="90" workbookViewId="0">
      <pane xSplit="2" ySplit="7" topLeftCell="C8" activePane="bottomRight" state="frozen"/>
      <selection pane="topRight" activeCell="C1" sqref="C1"/>
      <selection pane="bottomLeft" activeCell="A8" sqref="A8"/>
      <selection pane="bottomRight" activeCell="A4" sqref="A4:E4"/>
    </sheetView>
  </sheetViews>
  <sheetFormatPr defaultColWidth="9.140625" defaultRowHeight="15.75" outlineLevelRow="1" x14ac:dyDescent="0.25"/>
  <cols>
    <col min="1" max="1" width="6.42578125" style="9" customWidth="1"/>
    <col min="2" max="2" width="52.85546875" style="9" customWidth="1"/>
    <col min="3" max="3" width="13" style="9" customWidth="1"/>
    <col min="4" max="4" width="13.42578125" style="9" customWidth="1"/>
    <col min="5" max="5" width="9.140625" style="9" customWidth="1"/>
    <col min="6" max="6" width="9.140625" style="9"/>
    <col min="7" max="7" width="15.140625" style="9" customWidth="1"/>
    <col min="8" max="8" width="15.42578125" style="9" customWidth="1"/>
    <col min="9" max="16384" width="9.140625" style="9"/>
  </cols>
  <sheetData>
    <row r="1" spans="1:11" x14ac:dyDescent="0.25">
      <c r="A1" s="15"/>
      <c r="D1" s="15" t="s">
        <v>0</v>
      </c>
    </row>
    <row r="2" spans="1:11" x14ac:dyDescent="0.25">
      <c r="A2" s="1"/>
      <c r="B2" s="21"/>
    </row>
    <row r="3" spans="1:11" ht="24" customHeight="1" x14ac:dyDescent="0.25">
      <c r="A3" s="318" t="s">
        <v>627</v>
      </c>
      <c r="B3" s="318"/>
      <c r="C3" s="318"/>
      <c r="D3" s="318"/>
      <c r="E3" s="318"/>
    </row>
    <row r="4" spans="1:11" ht="20.25" customHeight="1" x14ac:dyDescent="0.25">
      <c r="A4" s="319" t="s">
        <v>708</v>
      </c>
      <c r="B4" s="319"/>
      <c r="C4" s="319"/>
      <c r="D4" s="319"/>
      <c r="E4" s="319"/>
    </row>
    <row r="5" spans="1:11" x14ac:dyDescent="0.25">
      <c r="B5" s="2"/>
      <c r="C5" s="6"/>
      <c r="D5" s="11" t="s">
        <v>1</v>
      </c>
    </row>
    <row r="6" spans="1:11" ht="50.25" customHeight="1" x14ac:dyDescent="0.25">
      <c r="A6" s="30" t="s">
        <v>2</v>
      </c>
      <c r="B6" s="30" t="s">
        <v>3</v>
      </c>
      <c r="C6" s="30" t="s">
        <v>4</v>
      </c>
      <c r="D6" s="30" t="s">
        <v>5</v>
      </c>
      <c r="E6" s="30" t="s">
        <v>6</v>
      </c>
      <c r="F6" s="47"/>
      <c r="G6" s="6"/>
    </row>
    <row r="7" spans="1:11" x14ac:dyDescent="0.25">
      <c r="A7" s="34" t="s">
        <v>7</v>
      </c>
      <c r="B7" s="34" t="s">
        <v>8</v>
      </c>
      <c r="C7" s="34">
        <v>1</v>
      </c>
      <c r="D7" s="34">
        <v>2</v>
      </c>
      <c r="E7" s="34" t="s">
        <v>9</v>
      </c>
    </row>
    <row r="8" spans="1:11" s="26" customFormat="1" ht="21.6" customHeight="1" x14ac:dyDescent="0.25">
      <c r="A8" s="198" t="s">
        <v>7</v>
      </c>
      <c r="B8" s="199" t="s">
        <v>10</v>
      </c>
      <c r="C8" s="245">
        <f t="shared" ref="C8" si="0">C9+C12+C15+C16+C17+C18+C19+C20</f>
        <v>10809697</v>
      </c>
      <c r="D8" s="245">
        <f>D9+D12+D15+D16+D17+D18+D19+D20+0.3</f>
        <v>13452482.562412998</v>
      </c>
      <c r="E8" s="252">
        <f t="shared" ref="E8:E17" si="1">IF((C8&gt;0),D8/C8*100,0)</f>
        <v>124.44828529803378</v>
      </c>
      <c r="G8" s="28"/>
      <c r="H8" s="28"/>
    </row>
    <row r="9" spans="1:11" x14ac:dyDescent="0.25">
      <c r="A9" s="125">
        <v>1</v>
      </c>
      <c r="B9" s="33" t="s">
        <v>11</v>
      </c>
      <c r="C9" s="246">
        <f>C10+C11</f>
        <v>4014300</v>
      </c>
      <c r="D9" s="246">
        <f>D10+D11</f>
        <v>2816358.8077810002</v>
      </c>
      <c r="E9" s="253">
        <f t="shared" si="1"/>
        <v>70.158154791146657</v>
      </c>
      <c r="G9" s="6"/>
      <c r="H9" s="25"/>
      <c r="I9" s="26"/>
      <c r="J9" s="26"/>
      <c r="K9" s="26"/>
    </row>
    <row r="10" spans="1:11" x14ac:dyDescent="0.25">
      <c r="A10" s="125" t="s">
        <v>12</v>
      </c>
      <c r="B10" s="33" t="s">
        <v>13</v>
      </c>
      <c r="C10" s="73">
        <v>2616500</v>
      </c>
      <c r="D10" s="73">
        <v>1458832.7394419999</v>
      </c>
      <c r="E10" s="253">
        <f t="shared" si="1"/>
        <v>55.75512094179247</v>
      </c>
      <c r="H10" s="27"/>
    </row>
    <row r="11" spans="1:11" x14ac:dyDescent="0.25">
      <c r="A11" s="125" t="s">
        <v>12</v>
      </c>
      <c r="B11" s="33" t="s">
        <v>14</v>
      </c>
      <c r="C11" s="73">
        <v>1397800</v>
      </c>
      <c r="D11" s="73">
        <v>1357526.0683390002</v>
      </c>
      <c r="E11" s="253">
        <f t="shared" si="1"/>
        <v>97.118762937401641</v>
      </c>
      <c r="H11" s="6"/>
    </row>
    <row r="12" spans="1:11" x14ac:dyDescent="0.25">
      <c r="A12" s="125">
        <v>2</v>
      </c>
      <c r="B12" s="33" t="s">
        <v>15</v>
      </c>
      <c r="C12" s="246">
        <f>C13+C14</f>
        <v>6795397</v>
      </c>
      <c r="D12" s="246">
        <f>D13+D14</f>
        <v>6860812.2966939993</v>
      </c>
      <c r="E12" s="253">
        <f t="shared" si="1"/>
        <v>100.96264128047264</v>
      </c>
      <c r="H12" s="27"/>
    </row>
    <row r="13" spans="1:11" x14ac:dyDescent="0.25">
      <c r="A13" s="125" t="s">
        <v>12</v>
      </c>
      <c r="B13" s="33" t="s">
        <v>16</v>
      </c>
      <c r="C13" s="246">
        <v>3646673</v>
      </c>
      <c r="D13" s="247">
        <v>3645849</v>
      </c>
      <c r="E13" s="253">
        <f t="shared" si="1"/>
        <v>99.977404061181247</v>
      </c>
      <c r="H13" s="27"/>
    </row>
    <row r="14" spans="1:11" x14ac:dyDescent="0.25">
      <c r="A14" s="125" t="s">
        <v>12</v>
      </c>
      <c r="B14" s="33" t="s">
        <v>17</v>
      </c>
      <c r="C14" s="246">
        <v>3148724</v>
      </c>
      <c r="D14" s="247">
        <v>3214963.2966939998</v>
      </c>
      <c r="E14" s="253">
        <f t="shared" si="1"/>
        <v>102.10368697586705</v>
      </c>
      <c r="G14" s="6"/>
      <c r="H14" s="27"/>
    </row>
    <row r="15" spans="1:11" x14ac:dyDescent="0.25">
      <c r="A15" s="125">
        <v>3</v>
      </c>
      <c r="B15" s="33" t="s">
        <v>18</v>
      </c>
      <c r="C15" s="73"/>
      <c r="D15" s="73"/>
      <c r="E15" s="253">
        <f t="shared" si="1"/>
        <v>0</v>
      </c>
      <c r="H15" s="35"/>
    </row>
    <row r="16" spans="1:11" x14ac:dyDescent="0.25">
      <c r="A16" s="125">
        <v>4</v>
      </c>
      <c r="B16" s="33" t="s">
        <v>229</v>
      </c>
      <c r="C16" s="73"/>
      <c r="D16" s="73">
        <v>73723.517011000004</v>
      </c>
      <c r="E16" s="253">
        <f t="shared" si="1"/>
        <v>0</v>
      </c>
    </row>
    <row r="17" spans="1:11" x14ac:dyDescent="0.25">
      <c r="A17" s="125">
        <v>5</v>
      </c>
      <c r="B17" s="33" t="s">
        <v>19</v>
      </c>
      <c r="C17" s="73"/>
      <c r="D17" s="73">
        <v>3563988.770759</v>
      </c>
      <c r="E17" s="253">
        <f t="shared" si="1"/>
        <v>0</v>
      </c>
    </row>
    <row r="18" spans="1:11" x14ac:dyDescent="0.25">
      <c r="A18" s="125">
        <v>6</v>
      </c>
      <c r="B18" s="33" t="s">
        <v>137</v>
      </c>
      <c r="C18" s="73"/>
      <c r="D18" s="73">
        <v>75892.407038000005</v>
      </c>
      <c r="E18" s="253"/>
      <c r="H18" s="6"/>
    </row>
    <row r="19" spans="1:11" x14ac:dyDescent="0.25">
      <c r="A19" s="125">
        <v>7</v>
      </c>
      <c r="B19" s="33" t="s">
        <v>162</v>
      </c>
      <c r="C19" s="73"/>
      <c r="D19" s="73">
        <v>12206.46313</v>
      </c>
      <c r="E19" s="253"/>
    </row>
    <row r="20" spans="1:11" x14ac:dyDescent="0.25">
      <c r="A20" s="125">
        <v>8</v>
      </c>
      <c r="B20" s="33" t="s">
        <v>230</v>
      </c>
      <c r="C20" s="73"/>
      <c r="D20" s="73">
        <v>49500</v>
      </c>
      <c r="E20" s="253"/>
    </row>
    <row r="21" spans="1:11" s="26" customFormat="1" x14ac:dyDescent="0.25">
      <c r="A21" s="85" t="s">
        <v>8</v>
      </c>
      <c r="B21" s="86" t="s">
        <v>20</v>
      </c>
      <c r="C21" s="248">
        <f>C22+C33+C36+C37</f>
        <v>10886897.002868228</v>
      </c>
      <c r="D21" s="248">
        <f>D22+D33+D36+D37</f>
        <v>13280792.109786998</v>
      </c>
      <c r="E21" s="254">
        <f t="shared" ref="E21:E45" si="2">IF((C21&gt;0),D21/C21*100,0)</f>
        <v>121.98877335101162</v>
      </c>
      <c r="G21" s="28"/>
      <c r="H21" s="28"/>
      <c r="I21" s="9"/>
      <c r="J21" s="9"/>
      <c r="K21" s="9"/>
    </row>
    <row r="22" spans="1:11" s="26" customFormat="1" x14ac:dyDescent="0.25">
      <c r="A22" s="85" t="s">
        <v>39</v>
      </c>
      <c r="B22" s="86" t="s">
        <v>547</v>
      </c>
      <c r="C22" s="248">
        <f>C23+C32</f>
        <v>7738173.0028682286</v>
      </c>
      <c r="D22" s="248">
        <f>D23+D32</f>
        <v>6393264.2224129997</v>
      </c>
      <c r="E22" s="254">
        <f t="shared" si="2"/>
        <v>82.619815039587181</v>
      </c>
      <c r="H22" s="28"/>
    </row>
    <row r="23" spans="1:11" s="26" customFormat="1" x14ac:dyDescent="0.25">
      <c r="A23" s="85" t="s">
        <v>257</v>
      </c>
      <c r="B23" s="86" t="s">
        <v>548</v>
      </c>
      <c r="C23" s="248">
        <f>SUM(C24:C31)</f>
        <v>7660973.0028682286</v>
      </c>
      <c r="D23" s="248">
        <f>SUM(D24:D31)</f>
        <v>6381057.7592829997</v>
      </c>
      <c r="E23" s="254">
        <f t="shared" si="2"/>
        <v>83.293045895005307</v>
      </c>
      <c r="H23" s="28"/>
    </row>
    <row r="24" spans="1:11" x14ac:dyDescent="0.25">
      <c r="A24" s="125">
        <v>1</v>
      </c>
      <c r="B24" s="33" t="s">
        <v>21</v>
      </c>
      <c r="C24" s="73">
        <v>1009037</v>
      </c>
      <c r="D24" s="73">
        <v>934996.24130999972</v>
      </c>
      <c r="E24" s="253">
        <f t="shared" si="2"/>
        <v>92.662235508707781</v>
      </c>
      <c r="H24" s="28"/>
      <c r="I24" s="26"/>
      <c r="J24" s="26"/>
      <c r="K24" s="26"/>
    </row>
    <row r="25" spans="1:11" x14ac:dyDescent="0.25">
      <c r="A25" s="125">
        <v>2</v>
      </c>
      <c r="B25" s="33" t="s">
        <v>22</v>
      </c>
      <c r="C25" s="73">
        <v>5267711</v>
      </c>
      <c r="D25" s="73">
        <v>5302320.2779660001</v>
      </c>
      <c r="E25" s="253">
        <f t="shared" si="2"/>
        <v>100.65700791038081</v>
      </c>
      <c r="G25" s="6"/>
      <c r="H25" s="6"/>
    </row>
    <row r="26" spans="1:11" x14ac:dyDescent="0.25">
      <c r="A26" s="125">
        <v>3</v>
      </c>
      <c r="B26" s="33" t="s">
        <v>628</v>
      </c>
      <c r="C26" s="73">
        <v>2200</v>
      </c>
      <c r="D26" s="73">
        <v>1649.2660000000001</v>
      </c>
      <c r="E26" s="253">
        <f t="shared" si="2"/>
        <v>74.966636363636368</v>
      </c>
    </row>
    <row r="27" spans="1:11" x14ac:dyDescent="0.25">
      <c r="A27" s="125">
        <v>4</v>
      </c>
      <c r="B27" s="33" t="s">
        <v>23</v>
      </c>
      <c r="C27" s="73">
        <v>1000</v>
      </c>
      <c r="D27" s="73">
        <v>1000</v>
      </c>
      <c r="E27" s="253">
        <f t="shared" si="2"/>
        <v>100</v>
      </c>
    </row>
    <row r="28" spans="1:11" x14ac:dyDescent="0.25">
      <c r="A28" s="125">
        <v>5</v>
      </c>
      <c r="B28" s="33" t="s">
        <v>24</v>
      </c>
      <c r="C28" s="73">
        <v>153219.00286822853</v>
      </c>
      <c r="D28" s="73">
        <v>0</v>
      </c>
      <c r="E28" s="253">
        <f t="shared" si="2"/>
        <v>0</v>
      </c>
    </row>
    <row r="29" spans="1:11" x14ac:dyDescent="0.25">
      <c r="A29" s="125">
        <v>6</v>
      </c>
      <c r="B29" s="33" t="s">
        <v>424</v>
      </c>
      <c r="C29" s="73">
        <v>1227806</v>
      </c>
      <c r="D29" s="73">
        <v>109404.806157</v>
      </c>
      <c r="E29" s="253">
        <f t="shared" si="2"/>
        <v>8.9105938688196655</v>
      </c>
    </row>
    <row r="30" spans="1:11" x14ac:dyDescent="0.25">
      <c r="A30" s="125">
        <v>7</v>
      </c>
      <c r="B30" s="33" t="s">
        <v>629</v>
      </c>
      <c r="C30" s="73">
        <v>0</v>
      </c>
      <c r="D30" s="73">
        <v>8583.1678499999998</v>
      </c>
      <c r="E30" s="253">
        <f t="shared" si="2"/>
        <v>0</v>
      </c>
    </row>
    <row r="31" spans="1:11" x14ac:dyDescent="0.25">
      <c r="A31" s="125">
        <v>8</v>
      </c>
      <c r="B31" s="33" t="s">
        <v>426</v>
      </c>
      <c r="C31" s="73">
        <v>0</v>
      </c>
      <c r="D31" s="73">
        <v>23104</v>
      </c>
      <c r="E31" s="253">
        <f t="shared" si="2"/>
        <v>0</v>
      </c>
    </row>
    <row r="32" spans="1:11" x14ac:dyDescent="0.25">
      <c r="A32" s="85" t="s">
        <v>363</v>
      </c>
      <c r="B32" s="86" t="s">
        <v>243</v>
      </c>
      <c r="C32" s="227">
        <v>77200</v>
      </c>
      <c r="D32" s="227">
        <v>12206.46313</v>
      </c>
      <c r="E32" s="254">
        <f t="shared" si="2"/>
        <v>15.811480738341968</v>
      </c>
    </row>
    <row r="33" spans="1:5" s="26" customFormat="1" x14ac:dyDescent="0.25">
      <c r="A33" s="85" t="s">
        <v>25</v>
      </c>
      <c r="B33" s="86" t="s">
        <v>26</v>
      </c>
      <c r="C33" s="248">
        <f>C34+C35</f>
        <v>3148724</v>
      </c>
      <c r="D33" s="249">
        <f>D34+D35</f>
        <v>2259060.098245</v>
      </c>
      <c r="E33" s="254">
        <f t="shared" si="2"/>
        <v>71.745256117875059</v>
      </c>
    </row>
    <row r="34" spans="1:5" ht="15.75" customHeight="1" x14ac:dyDescent="0.25">
      <c r="A34" s="125">
        <v>1</v>
      </c>
      <c r="B34" s="33" t="s">
        <v>27</v>
      </c>
      <c r="C34" s="246">
        <v>1243102</v>
      </c>
      <c r="D34" s="247">
        <v>1283926.966634</v>
      </c>
      <c r="E34" s="253">
        <f t="shared" si="2"/>
        <v>103.28412042085043</v>
      </c>
    </row>
    <row r="35" spans="1:5" x14ac:dyDescent="0.25">
      <c r="A35" s="125">
        <v>2</v>
      </c>
      <c r="B35" s="33" t="s">
        <v>28</v>
      </c>
      <c r="C35" s="246">
        <v>1905622</v>
      </c>
      <c r="D35" s="247">
        <v>975133.13161100005</v>
      </c>
      <c r="E35" s="253">
        <f t="shared" si="2"/>
        <v>51.171382971596678</v>
      </c>
    </row>
    <row r="36" spans="1:5" s="26" customFormat="1" x14ac:dyDescent="0.25">
      <c r="A36" s="85" t="s">
        <v>29</v>
      </c>
      <c r="B36" s="86" t="s">
        <v>30</v>
      </c>
      <c r="C36" s="248">
        <v>0</v>
      </c>
      <c r="D36" s="250">
        <v>4429726.1766579999</v>
      </c>
      <c r="E36" s="253">
        <f t="shared" si="2"/>
        <v>0</v>
      </c>
    </row>
    <row r="37" spans="1:5" s="26" customFormat="1" x14ac:dyDescent="0.25">
      <c r="A37" s="85" t="s">
        <v>56</v>
      </c>
      <c r="B37" s="86" t="s">
        <v>146</v>
      </c>
      <c r="C37" s="248">
        <v>0</v>
      </c>
      <c r="D37" s="250">
        <v>198741.61247100003</v>
      </c>
      <c r="E37" s="253">
        <f t="shared" si="2"/>
        <v>0</v>
      </c>
    </row>
    <row r="38" spans="1:5" s="26" customFormat="1" x14ac:dyDescent="0.25">
      <c r="A38" s="85" t="s">
        <v>31</v>
      </c>
      <c r="B38" s="86" t="s">
        <v>388</v>
      </c>
      <c r="C38" s="248"/>
      <c r="D38" s="248"/>
      <c r="E38" s="254">
        <f t="shared" si="2"/>
        <v>0</v>
      </c>
    </row>
    <row r="39" spans="1:5" s="26" customFormat="1" x14ac:dyDescent="0.25">
      <c r="A39" s="85" t="s">
        <v>32</v>
      </c>
      <c r="B39" s="86" t="s">
        <v>165</v>
      </c>
      <c r="C39" s="248">
        <f>C40+C41</f>
        <v>0</v>
      </c>
      <c r="D39" s="248">
        <f>D40+D41</f>
        <v>8583.1678499999998</v>
      </c>
      <c r="E39" s="254">
        <f t="shared" si="2"/>
        <v>0</v>
      </c>
    </row>
    <row r="40" spans="1:5" outlineLevel="1" x14ac:dyDescent="0.25">
      <c r="A40" s="125">
        <v>1</v>
      </c>
      <c r="B40" s="33" t="s">
        <v>166</v>
      </c>
      <c r="C40" s="73"/>
      <c r="D40" s="73"/>
      <c r="E40" s="253">
        <f t="shared" si="2"/>
        <v>0</v>
      </c>
    </row>
    <row r="41" spans="1:5" ht="31.5" outlineLevel="1" x14ac:dyDescent="0.25">
      <c r="A41" s="125">
        <v>2</v>
      </c>
      <c r="B41" s="33" t="s">
        <v>167</v>
      </c>
      <c r="C41" s="247"/>
      <c r="D41" s="247">
        <v>8583.1678499999998</v>
      </c>
      <c r="E41" s="253">
        <f t="shared" si="2"/>
        <v>0</v>
      </c>
    </row>
    <row r="42" spans="1:5" s="26" customFormat="1" x14ac:dyDescent="0.25">
      <c r="A42" s="85" t="s">
        <v>172</v>
      </c>
      <c r="B42" s="86" t="s">
        <v>168</v>
      </c>
      <c r="C42" s="248">
        <f>C43+C44</f>
        <v>77200</v>
      </c>
      <c r="D42" s="248">
        <f>D43+D44</f>
        <v>12206.46313</v>
      </c>
      <c r="E42" s="254">
        <f t="shared" si="2"/>
        <v>15.811480738341968</v>
      </c>
    </row>
    <row r="43" spans="1:5" outlineLevel="1" x14ac:dyDescent="0.25">
      <c r="A43" s="125">
        <v>1</v>
      </c>
      <c r="B43" s="33" t="s">
        <v>169</v>
      </c>
      <c r="C43" s="73">
        <v>77200</v>
      </c>
      <c r="D43" s="246">
        <v>12206.46313</v>
      </c>
      <c r="E43" s="253">
        <f t="shared" si="2"/>
        <v>15.811480738341968</v>
      </c>
    </row>
    <row r="44" spans="1:5" outlineLevel="1" x14ac:dyDescent="0.25">
      <c r="A44" s="125">
        <v>2</v>
      </c>
      <c r="B44" s="33" t="s">
        <v>170</v>
      </c>
      <c r="C44" s="73"/>
      <c r="D44" s="246"/>
      <c r="E44" s="253">
        <f t="shared" si="2"/>
        <v>0</v>
      </c>
    </row>
    <row r="45" spans="1:5" s="26" customFormat="1" x14ac:dyDescent="0.25">
      <c r="A45" s="91" t="s">
        <v>33</v>
      </c>
      <c r="B45" s="92" t="s">
        <v>171</v>
      </c>
      <c r="C45" s="251">
        <v>154035</v>
      </c>
      <c r="D45" s="251">
        <v>78149.866347000003</v>
      </c>
      <c r="E45" s="255">
        <f t="shared" si="2"/>
        <v>50.735135746421264</v>
      </c>
    </row>
    <row r="46" spans="1:5" x14ac:dyDescent="0.25">
      <c r="A46" s="36"/>
      <c r="C46" s="10"/>
      <c r="D46" s="10"/>
    </row>
    <row r="47" spans="1:5" x14ac:dyDescent="0.25">
      <c r="C47" s="10"/>
      <c r="D47" s="10"/>
    </row>
  </sheetData>
  <mergeCells count="2">
    <mergeCell ref="A3:E3"/>
    <mergeCell ref="A4:E4"/>
  </mergeCells>
  <printOptions horizontalCentered="1"/>
  <pageMargins left="0.45" right="0"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L123"/>
  <sheetViews>
    <sheetView zoomScale="80" zoomScaleNormal="80" workbookViewId="0">
      <selection activeCell="C13" sqref="C13"/>
    </sheetView>
  </sheetViews>
  <sheetFormatPr defaultRowHeight="15.75" outlineLevelCol="2" x14ac:dyDescent="0.25"/>
  <cols>
    <col min="1" max="1" width="5.42578125" style="9" customWidth="1"/>
    <col min="2" max="2" width="45.140625" style="9" customWidth="1"/>
    <col min="3" max="3" width="15.140625" style="9" customWidth="1"/>
    <col min="4" max="4" width="16.42578125" style="9" customWidth="1" outlineLevel="1"/>
    <col min="5" max="5" width="17.140625" style="9" customWidth="1" outlineLevel="1"/>
    <col min="6" max="8" width="17.140625" style="9" hidden="1" customWidth="1" outlineLevel="2"/>
    <col min="9" max="9" width="15.85546875" style="9" customWidth="1" outlineLevel="1" collapsed="1"/>
    <col min="10" max="10" width="13.85546875" style="9" customWidth="1" outlineLevel="1"/>
    <col min="11" max="11" width="11.140625" style="9" customWidth="1" outlineLevel="1"/>
    <col min="12" max="12" width="11.85546875" style="9" customWidth="1" outlineLevel="1"/>
    <col min="13" max="13" width="10.42578125" style="9" customWidth="1" outlineLevel="1"/>
    <col min="14" max="14" width="16.42578125" style="9" customWidth="1"/>
    <col min="15" max="15" width="14.140625" style="9" customWidth="1" outlineLevel="1"/>
    <col min="16" max="16" width="15.85546875" style="9" customWidth="1" outlineLevel="1"/>
    <col min="17" max="17" width="18.85546875" style="9" hidden="1" customWidth="1" outlineLevel="2"/>
    <col min="18" max="18" width="18.42578125" style="9" hidden="1" customWidth="1" outlineLevel="2"/>
    <col min="19" max="19" width="11.85546875" style="9" customWidth="1" outlineLevel="1" collapsed="1"/>
    <col min="20" max="20" width="20.7109375" style="9" customWidth="1" outlineLevel="1"/>
    <col min="21" max="21" width="15.5703125" style="9" customWidth="1" outlineLevel="1"/>
    <col min="22" max="22" width="12.5703125" style="9" customWidth="1" outlineLevel="1"/>
    <col min="23" max="23" width="11.140625" style="9" customWidth="1" outlineLevel="1"/>
    <col min="24" max="24" width="15.5703125" style="9" customWidth="1" outlineLevel="1"/>
    <col min="25" max="25" width="13.7109375" style="9" hidden="1" customWidth="1" outlineLevel="2"/>
    <col min="26" max="26" width="11.7109375" style="9" hidden="1" customWidth="1" outlineLevel="2"/>
    <col min="27" max="27" width="15" style="9" customWidth="1" outlineLevel="1" collapsed="1"/>
    <col min="28" max="28" width="11.140625" style="9" customWidth="1"/>
    <col min="29" max="29" width="10.7109375" style="9" customWidth="1"/>
    <col min="30" max="30" width="9.7109375" style="9" customWidth="1"/>
    <col min="31" max="31" width="11.5703125" style="9" customWidth="1"/>
    <col min="32" max="32" width="9.140625" style="96"/>
    <col min="33" max="33" width="17.5703125" style="9" customWidth="1"/>
    <col min="34" max="34" width="31.140625" style="9" customWidth="1"/>
    <col min="35" max="35" width="16.7109375" style="9" customWidth="1"/>
    <col min="36" max="36" width="9.140625" style="9"/>
    <col min="37" max="37" width="22.28515625" style="9" customWidth="1"/>
    <col min="38" max="38" width="24.42578125" style="9" customWidth="1"/>
    <col min="39" max="262" width="9.140625" style="9"/>
    <col min="263" max="263" width="5.42578125" style="9" customWidth="1"/>
    <col min="264" max="264" width="45.140625" style="9" customWidth="1"/>
    <col min="265" max="266" width="12" style="9" customWidth="1"/>
    <col min="267" max="267" width="16.140625" style="9" customWidth="1"/>
    <col min="268" max="268" width="7.7109375" style="9" customWidth="1"/>
    <col min="269" max="269" width="12" style="9" customWidth="1"/>
    <col min="270" max="271" width="9" style="9" customWidth="1"/>
    <col min="272" max="272" width="11.28515625" style="9" customWidth="1"/>
    <col min="273" max="274" width="12" style="9" customWidth="1"/>
    <col min="275" max="275" width="17.140625" style="9" customWidth="1"/>
    <col min="276" max="276" width="9" style="9" customWidth="1"/>
    <col min="277" max="277" width="12" style="9" customWidth="1"/>
    <col min="278" max="279" width="9" style="9" customWidth="1"/>
    <col min="280" max="280" width="9.85546875" style="9" customWidth="1"/>
    <col min="281" max="281" width="10.140625" style="9" customWidth="1"/>
    <col min="282" max="282" width="7.85546875" style="9" customWidth="1"/>
    <col min="283" max="283" width="8.5703125" style="9" customWidth="1"/>
    <col min="284" max="284" width="7.85546875" style="9" customWidth="1"/>
    <col min="285" max="285" width="8.7109375" style="9" customWidth="1"/>
    <col min="286" max="518" width="9.140625" style="9"/>
    <col min="519" max="519" width="5.42578125" style="9" customWidth="1"/>
    <col min="520" max="520" width="45.140625" style="9" customWidth="1"/>
    <col min="521" max="522" width="12" style="9" customWidth="1"/>
    <col min="523" max="523" width="16.140625" style="9" customWidth="1"/>
    <col min="524" max="524" width="7.7109375" style="9" customWidth="1"/>
    <col min="525" max="525" width="12" style="9" customWidth="1"/>
    <col min="526" max="527" width="9" style="9" customWidth="1"/>
    <col min="528" max="528" width="11.28515625" style="9" customWidth="1"/>
    <col min="529" max="530" width="12" style="9" customWidth="1"/>
    <col min="531" max="531" width="17.140625" style="9" customWidth="1"/>
    <col min="532" max="532" width="9" style="9" customWidth="1"/>
    <col min="533" max="533" width="12" style="9" customWidth="1"/>
    <col min="534" max="535" width="9" style="9" customWidth="1"/>
    <col min="536" max="536" width="9.85546875" style="9" customWidth="1"/>
    <col min="537" max="537" width="10.140625" style="9" customWidth="1"/>
    <col min="538" max="538" width="7.85546875" style="9" customWidth="1"/>
    <col min="539" max="539" width="8.5703125" style="9" customWidth="1"/>
    <col min="540" max="540" width="7.85546875" style="9" customWidth="1"/>
    <col min="541" max="541" width="8.7109375" style="9" customWidth="1"/>
    <col min="542" max="774" width="9.140625" style="9"/>
    <col min="775" max="775" width="5.42578125" style="9" customWidth="1"/>
    <col min="776" max="776" width="45.140625" style="9" customWidth="1"/>
    <col min="777" max="778" width="12" style="9" customWidth="1"/>
    <col min="779" max="779" width="16.140625" style="9" customWidth="1"/>
    <col min="780" max="780" width="7.7109375" style="9" customWidth="1"/>
    <col min="781" max="781" width="12" style="9" customWidth="1"/>
    <col min="782" max="783" width="9" style="9" customWidth="1"/>
    <col min="784" max="784" width="11.28515625" style="9" customWidth="1"/>
    <col min="785" max="786" width="12" style="9" customWidth="1"/>
    <col min="787" max="787" width="17.140625" style="9" customWidth="1"/>
    <col min="788" max="788" width="9" style="9" customWidth="1"/>
    <col min="789" max="789" width="12" style="9" customWidth="1"/>
    <col min="790" max="791" width="9" style="9" customWidth="1"/>
    <col min="792" max="792" width="9.85546875" style="9" customWidth="1"/>
    <col min="793" max="793" width="10.140625" style="9" customWidth="1"/>
    <col min="794" max="794" width="7.85546875" style="9" customWidth="1"/>
    <col min="795" max="795" width="8.5703125" style="9" customWidth="1"/>
    <col min="796" max="796" width="7.85546875" style="9" customWidth="1"/>
    <col min="797" max="797" width="8.7109375" style="9" customWidth="1"/>
    <col min="798" max="1030" width="9.140625" style="9"/>
    <col min="1031" max="1031" width="5.42578125" style="9" customWidth="1"/>
    <col min="1032" max="1032" width="45.140625" style="9" customWidth="1"/>
    <col min="1033" max="1034" width="12" style="9" customWidth="1"/>
    <col min="1035" max="1035" width="16.140625" style="9" customWidth="1"/>
    <col min="1036" max="1036" width="7.7109375" style="9" customWidth="1"/>
    <col min="1037" max="1037" width="12" style="9" customWidth="1"/>
    <col min="1038" max="1039" width="9" style="9" customWidth="1"/>
    <col min="1040" max="1040" width="11.28515625" style="9" customWidth="1"/>
    <col min="1041" max="1042" width="12" style="9" customWidth="1"/>
    <col min="1043" max="1043" width="17.140625" style="9" customWidth="1"/>
    <col min="1044" max="1044" width="9" style="9" customWidth="1"/>
    <col min="1045" max="1045" width="12" style="9" customWidth="1"/>
    <col min="1046" max="1047" width="9" style="9" customWidth="1"/>
    <col min="1048" max="1048" width="9.85546875" style="9" customWidth="1"/>
    <col min="1049" max="1049" width="10.140625" style="9" customWidth="1"/>
    <col min="1050" max="1050" width="7.85546875" style="9" customWidth="1"/>
    <col min="1051" max="1051" width="8.5703125" style="9" customWidth="1"/>
    <col min="1052" max="1052" width="7.85546875" style="9" customWidth="1"/>
    <col min="1053" max="1053" width="8.7109375" style="9" customWidth="1"/>
    <col min="1054" max="1286" width="9.140625" style="9"/>
    <col min="1287" max="1287" width="5.42578125" style="9" customWidth="1"/>
    <col min="1288" max="1288" width="45.140625" style="9" customWidth="1"/>
    <col min="1289" max="1290" width="12" style="9" customWidth="1"/>
    <col min="1291" max="1291" width="16.140625" style="9" customWidth="1"/>
    <col min="1292" max="1292" width="7.7109375" style="9" customWidth="1"/>
    <col min="1293" max="1293" width="12" style="9" customWidth="1"/>
    <col min="1294" max="1295" width="9" style="9" customWidth="1"/>
    <col min="1296" max="1296" width="11.28515625" style="9" customWidth="1"/>
    <col min="1297" max="1298" width="12" style="9" customWidth="1"/>
    <col min="1299" max="1299" width="17.140625" style="9" customWidth="1"/>
    <col min="1300" max="1300" width="9" style="9" customWidth="1"/>
    <col min="1301" max="1301" width="12" style="9" customWidth="1"/>
    <col min="1302" max="1303" width="9" style="9" customWidth="1"/>
    <col min="1304" max="1304" width="9.85546875" style="9" customWidth="1"/>
    <col min="1305" max="1305" width="10.140625" style="9" customWidth="1"/>
    <col min="1306" max="1306" width="7.85546875" style="9" customWidth="1"/>
    <col min="1307" max="1307" width="8.5703125" style="9" customWidth="1"/>
    <col min="1308" max="1308" width="7.85546875" style="9" customWidth="1"/>
    <col min="1309" max="1309" width="8.7109375" style="9" customWidth="1"/>
    <col min="1310" max="1542" width="9.140625" style="9"/>
    <col min="1543" max="1543" width="5.42578125" style="9" customWidth="1"/>
    <col min="1544" max="1544" width="45.140625" style="9" customWidth="1"/>
    <col min="1545" max="1546" width="12" style="9" customWidth="1"/>
    <col min="1547" max="1547" width="16.140625" style="9" customWidth="1"/>
    <col min="1548" max="1548" width="7.7109375" style="9" customWidth="1"/>
    <col min="1549" max="1549" width="12" style="9" customWidth="1"/>
    <col min="1550" max="1551" width="9" style="9" customWidth="1"/>
    <col min="1552" max="1552" width="11.28515625" style="9" customWidth="1"/>
    <col min="1553" max="1554" width="12" style="9" customWidth="1"/>
    <col min="1555" max="1555" width="17.140625" style="9" customWidth="1"/>
    <col min="1556" max="1556" width="9" style="9" customWidth="1"/>
    <col min="1557" max="1557" width="12" style="9" customWidth="1"/>
    <col min="1558" max="1559" width="9" style="9" customWidth="1"/>
    <col min="1560" max="1560" width="9.85546875" style="9" customWidth="1"/>
    <col min="1561" max="1561" width="10.140625" style="9" customWidth="1"/>
    <col min="1562" max="1562" width="7.85546875" style="9" customWidth="1"/>
    <col min="1563" max="1563" width="8.5703125" style="9" customWidth="1"/>
    <col min="1564" max="1564" width="7.85546875" style="9" customWidth="1"/>
    <col min="1565" max="1565" width="8.7109375" style="9" customWidth="1"/>
    <col min="1566" max="1798" width="9.140625" style="9"/>
    <col min="1799" max="1799" width="5.42578125" style="9" customWidth="1"/>
    <col min="1800" max="1800" width="45.140625" style="9" customWidth="1"/>
    <col min="1801" max="1802" width="12" style="9" customWidth="1"/>
    <col min="1803" max="1803" width="16.140625" style="9" customWidth="1"/>
    <col min="1804" max="1804" width="7.7109375" style="9" customWidth="1"/>
    <col min="1805" max="1805" width="12" style="9" customWidth="1"/>
    <col min="1806" max="1807" width="9" style="9" customWidth="1"/>
    <col min="1808" max="1808" width="11.28515625" style="9" customWidth="1"/>
    <col min="1809" max="1810" width="12" style="9" customWidth="1"/>
    <col min="1811" max="1811" width="17.140625" style="9" customWidth="1"/>
    <col min="1812" max="1812" width="9" style="9" customWidth="1"/>
    <col min="1813" max="1813" width="12" style="9" customWidth="1"/>
    <col min="1814" max="1815" width="9" style="9" customWidth="1"/>
    <col min="1816" max="1816" width="9.85546875" style="9" customWidth="1"/>
    <col min="1817" max="1817" width="10.140625" style="9" customWidth="1"/>
    <col min="1818" max="1818" width="7.85546875" style="9" customWidth="1"/>
    <col min="1819" max="1819" width="8.5703125" style="9" customWidth="1"/>
    <col min="1820" max="1820" width="7.85546875" style="9" customWidth="1"/>
    <col min="1821" max="1821" width="8.7109375" style="9" customWidth="1"/>
    <col min="1822" max="2054" width="9.140625" style="9"/>
    <col min="2055" max="2055" width="5.42578125" style="9" customWidth="1"/>
    <col min="2056" max="2056" width="45.140625" style="9" customWidth="1"/>
    <col min="2057" max="2058" width="12" style="9" customWidth="1"/>
    <col min="2059" max="2059" width="16.140625" style="9" customWidth="1"/>
    <col min="2060" max="2060" width="7.7109375" style="9" customWidth="1"/>
    <col min="2061" max="2061" width="12" style="9" customWidth="1"/>
    <col min="2062" max="2063" width="9" style="9" customWidth="1"/>
    <col min="2064" max="2064" width="11.28515625" style="9" customWidth="1"/>
    <col min="2065" max="2066" width="12" style="9" customWidth="1"/>
    <col min="2067" max="2067" width="17.140625" style="9" customWidth="1"/>
    <col min="2068" max="2068" width="9" style="9" customWidth="1"/>
    <col min="2069" max="2069" width="12" style="9" customWidth="1"/>
    <col min="2070" max="2071" width="9" style="9" customWidth="1"/>
    <col min="2072" max="2072" width="9.85546875" style="9" customWidth="1"/>
    <col min="2073" max="2073" width="10.140625" style="9" customWidth="1"/>
    <col min="2074" max="2074" width="7.85546875" style="9" customWidth="1"/>
    <col min="2075" max="2075" width="8.5703125" style="9" customWidth="1"/>
    <col min="2076" max="2076" width="7.85546875" style="9" customWidth="1"/>
    <col min="2077" max="2077" width="8.7109375" style="9" customWidth="1"/>
    <col min="2078" max="2310" width="9.140625" style="9"/>
    <col min="2311" max="2311" width="5.42578125" style="9" customWidth="1"/>
    <col min="2312" max="2312" width="45.140625" style="9" customWidth="1"/>
    <col min="2313" max="2314" width="12" style="9" customWidth="1"/>
    <col min="2315" max="2315" width="16.140625" style="9" customWidth="1"/>
    <col min="2316" max="2316" width="7.7109375" style="9" customWidth="1"/>
    <col min="2317" max="2317" width="12" style="9" customWidth="1"/>
    <col min="2318" max="2319" width="9" style="9" customWidth="1"/>
    <col min="2320" max="2320" width="11.28515625" style="9" customWidth="1"/>
    <col min="2321" max="2322" width="12" style="9" customWidth="1"/>
    <col min="2323" max="2323" width="17.140625" style="9" customWidth="1"/>
    <col min="2324" max="2324" width="9" style="9" customWidth="1"/>
    <col min="2325" max="2325" width="12" style="9" customWidth="1"/>
    <col min="2326" max="2327" width="9" style="9" customWidth="1"/>
    <col min="2328" max="2328" width="9.85546875" style="9" customWidth="1"/>
    <col min="2329" max="2329" width="10.140625" style="9" customWidth="1"/>
    <col min="2330" max="2330" width="7.85546875" style="9" customWidth="1"/>
    <col min="2331" max="2331" width="8.5703125" style="9" customWidth="1"/>
    <col min="2332" max="2332" width="7.85546875" style="9" customWidth="1"/>
    <col min="2333" max="2333" width="8.7109375" style="9" customWidth="1"/>
    <col min="2334" max="2566" width="9.140625" style="9"/>
    <col min="2567" max="2567" width="5.42578125" style="9" customWidth="1"/>
    <col min="2568" max="2568" width="45.140625" style="9" customWidth="1"/>
    <col min="2569" max="2570" width="12" style="9" customWidth="1"/>
    <col min="2571" max="2571" width="16.140625" style="9" customWidth="1"/>
    <col min="2572" max="2572" width="7.7109375" style="9" customWidth="1"/>
    <col min="2573" max="2573" width="12" style="9" customWidth="1"/>
    <col min="2574" max="2575" width="9" style="9" customWidth="1"/>
    <col min="2576" max="2576" width="11.28515625" style="9" customWidth="1"/>
    <col min="2577" max="2578" width="12" style="9" customWidth="1"/>
    <col min="2579" max="2579" width="17.140625" style="9" customWidth="1"/>
    <col min="2580" max="2580" width="9" style="9" customWidth="1"/>
    <col min="2581" max="2581" width="12" style="9" customWidth="1"/>
    <col min="2582" max="2583" width="9" style="9" customWidth="1"/>
    <col min="2584" max="2584" width="9.85546875" style="9" customWidth="1"/>
    <col min="2585" max="2585" width="10.140625" style="9" customWidth="1"/>
    <col min="2586" max="2586" width="7.85546875" style="9" customWidth="1"/>
    <col min="2587" max="2587" width="8.5703125" style="9" customWidth="1"/>
    <col min="2588" max="2588" width="7.85546875" style="9" customWidth="1"/>
    <col min="2589" max="2589" width="8.7109375" style="9" customWidth="1"/>
    <col min="2590" max="2822" width="9.140625" style="9"/>
    <col min="2823" max="2823" width="5.42578125" style="9" customWidth="1"/>
    <col min="2824" max="2824" width="45.140625" style="9" customWidth="1"/>
    <col min="2825" max="2826" width="12" style="9" customWidth="1"/>
    <col min="2827" max="2827" width="16.140625" style="9" customWidth="1"/>
    <col min="2828" max="2828" width="7.7109375" style="9" customWidth="1"/>
    <col min="2829" max="2829" width="12" style="9" customWidth="1"/>
    <col min="2830" max="2831" width="9" style="9" customWidth="1"/>
    <col min="2832" max="2832" width="11.28515625" style="9" customWidth="1"/>
    <col min="2833" max="2834" width="12" style="9" customWidth="1"/>
    <col min="2835" max="2835" width="17.140625" style="9" customWidth="1"/>
    <col min="2836" max="2836" width="9" style="9" customWidth="1"/>
    <col min="2837" max="2837" width="12" style="9" customWidth="1"/>
    <col min="2838" max="2839" width="9" style="9" customWidth="1"/>
    <col min="2840" max="2840" width="9.85546875" style="9" customWidth="1"/>
    <col min="2841" max="2841" width="10.140625" style="9" customWidth="1"/>
    <col min="2842" max="2842" width="7.85546875" style="9" customWidth="1"/>
    <col min="2843" max="2843" width="8.5703125" style="9" customWidth="1"/>
    <col min="2844" max="2844" width="7.85546875" style="9" customWidth="1"/>
    <col min="2845" max="2845" width="8.7109375" style="9" customWidth="1"/>
    <col min="2846" max="3078" width="9.140625" style="9"/>
    <col min="3079" max="3079" width="5.42578125" style="9" customWidth="1"/>
    <col min="3080" max="3080" width="45.140625" style="9" customWidth="1"/>
    <col min="3081" max="3082" width="12" style="9" customWidth="1"/>
    <col min="3083" max="3083" width="16.140625" style="9" customWidth="1"/>
    <col min="3084" max="3084" width="7.7109375" style="9" customWidth="1"/>
    <col min="3085" max="3085" width="12" style="9" customWidth="1"/>
    <col min="3086" max="3087" width="9" style="9" customWidth="1"/>
    <col min="3088" max="3088" width="11.28515625" style="9" customWidth="1"/>
    <col min="3089" max="3090" width="12" style="9" customWidth="1"/>
    <col min="3091" max="3091" width="17.140625" style="9" customWidth="1"/>
    <col min="3092" max="3092" width="9" style="9" customWidth="1"/>
    <col min="3093" max="3093" width="12" style="9" customWidth="1"/>
    <col min="3094" max="3095" width="9" style="9" customWidth="1"/>
    <col min="3096" max="3096" width="9.85546875" style="9" customWidth="1"/>
    <col min="3097" max="3097" width="10.140625" style="9" customWidth="1"/>
    <col min="3098" max="3098" width="7.85546875" style="9" customWidth="1"/>
    <col min="3099" max="3099" width="8.5703125" style="9" customWidth="1"/>
    <col min="3100" max="3100" width="7.85546875" style="9" customWidth="1"/>
    <col min="3101" max="3101" width="8.7109375" style="9" customWidth="1"/>
    <col min="3102" max="3334" width="9.140625" style="9"/>
    <col min="3335" max="3335" width="5.42578125" style="9" customWidth="1"/>
    <col min="3336" max="3336" width="45.140625" style="9" customWidth="1"/>
    <col min="3337" max="3338" width="12" style="9" customWidth="1"/>
    <col min="3339" max="3339" width="16.140625" style="9" customWidth="1"/>
    <col min="3340" max="3340" width="7.7109375" style="9" customWidth="1"/>
    <col min="3341" max="3341" width="12" style="9" customWidth="1"/>
    <col min="3342" max="3343" width="9" style="9" customWidth="1"/>
    <col min="3344" max="3344" width="11.28515625" style="9" customWidth="1"/>
    <col min="3345" max="3346" width="12" style="9" customWidth="1"/>
    <col min="3347" max="3347" width="17.140625" style="9" customWidth="1"/>
    <col min="3348" max="3348" width="9" style="9" customWidth="1"/>
    <col min="3349" max="3349" width="12" style="9" customWidth="1"/>
    <col min="3350" max="3351" width="9" style="9" customWidth="1"/>
    <col min="3352" max="3352" width="9.85546875" style="9" customWidth="1"/>
    <col min="3353" max="3353" width="10.140625" style="9" customWidth="1"/>
    <col min="3354" max="3354" width="7.85546875" style="9" customWidth="1"/>
    <col min="3355" max="3355" width="8.5703125" style="9" customWidth="1"/>
    <col min="3356" max="3356" width="7.85546875" style="9" customWidth="1"/>
    <col min="3357" max="3357" width="8.7109375" style="9" customWidth="1"/>
    <col min="3358" max="3590" width="9.140625" style="9"/>
    <col min="3591" max="3591" width="5.42578125" style="9" customWidth="1"/>
    <col min="3592" max="3592" width="45.140625" style="9" customWidth="1"/>
    <col min="3593" max="3594" width="12" style="9" customWidth="1"/>
    <col min="3595" max="3595" width="16.140625" style="9" customWidth="1"/>
    <col min="3596" max="3596" width="7.7109375" style="9" customWidth="1"/>
    <col min="3597" max="3597" width="12" style="9" customWidth="1"/>
    <col min="3598" max="3599" width="9" style="9" customWidth="1"/>
    <col min="3600" max="3600" width="11.28515625" style="9" customWidth="1"/>
    <col min="3601" max="3602" width="12" style="9" customWidth="1"/>
    <col min="3603" max="3603" width="17.140625" style="9" customWidth="1"/>
    <col min="3604" max="3604" width="9" style="9" customWidth="1"/>
    <col min="3605" max="3605" width="12" style="9" customWidth="1"/>
    <col min="3606" max="3607" width="9" style="9" customWidth="1"/>
    <col min="3608" max="3608" width="9.85546875" style="9" customWidth="1"/>
    <col min="3609" max="3609" width="10.140625" style="9" customWidth="1"/>
    <col min="3610" max="3610" width="7.85546875" style="9" customWidth="1"/>
    <col min="3611" max="3611" width="8.5703125" style="9" customWidth="1"/>
    <col min="3612" max="3612" width="7.85546875" style="9" customWidth="1"/>
    <col min="3613" max="3613" width="8.7109375" style="9" customWidth="1"/>
    <col min="3614" max="3846" width="9.140625" style="9"/>
    <col min="3847" max="3847" width="5.42578125" style="9" customWidth="1"/>
    <col min="3848" max="3848" width="45.140625" style="9" customWidth="1"/>
    <col min="3849" max="3850" width="12" style="9" customWidth="1"/>
    <col min="3851" max="3851" width="16.140625" style="9" customWidth="1"/>
    <col min="3852" max="3852" width="7.7109375" style="9" customWidth="1"/>
    <col min="3853" max="3853" width="12" style="9" customWidth="1"/>
    <col min="3854" max="3855" width="9" style="9" customWidth="1"/>
    <col min="3856" max="3856" width="11.28515625" style="9" customWidth="1"/>
    <col min="3857" max="3858" width="12" style="9" customWidth="1"/>
    <col min="3859" max="3859" width="17.140625" style="9" customWidth="1"/>
    <col min="3860" max="3860" width="9" style="9" customWidth="1"/>
    <col min="3861" max="3861" width="12" style="9" customWidth="1"/>
    <col min="3862" max="3863" width="9" style="9" customWidth="1"/>
    <col min="3864" max="3864" width="9.85546875" style="9" customWidth="1"/>
    <col min="3865" max="3865" width="10.140625" style="9" customWidth="1"/>
    <col min="3866" max="3866" width="7.85546875" style="9" customWidth="1"/>
    <col min="3867" max="3867" width="8.5703125" style="9" customWidth="1"/>
    <col min="3868" max="3868" width="7.85546875" style="9" customWidth="1"/>
    <col min="3869" max="3869" width="8.7109375" style="9" customWidth="1"/>
    <col min="3870" max="4102" width="9.140625" style="9"/>
    <col min="4103" max="4103" width="5.42578125" style="9" customWidth="1"/>
    <col min="4104" max="4104" width="45.140625" style="9" customWidth="1"/>
    <col min="4105" max="4106" width="12" style="9" customWidth="1"/>
    <col min="4107" max="4107" width="16.140625" style="9" customWidth="1"/>
    <col min="4108" max="4108" width="7.7109375" style="9" customWidth="1"/>
    <col min="4109" max="4109" width="12" style="9" customWidth="1"/>
    <col min="4110" max="4111" width="9" style="9" customWidth="1"/>
    <col min="4112" max="4112" width="11.28515625" style="9" customWidth="1"/>
    <col min="4113" max="4114" width="12" style="9" customWidth="1"/>
    <col min="4115" max="4115" width="17.140625" style="9" customWidth="1"/>
    <col min="4116" max="4116" width="9" style="9" customWidth="1"/>
    <col min="4117" max="4117" width="12" style="9" customWidth="1"/>
    <col min="4118" max="4119" width="9" style="9" customWidth="1"/>
    <col min="4120" max="4120" width="9.85546875" style="9" customWidth="1"/>
    <col min="4121" max="4121" width="10.140625" style="9" customWidth="1"/>
    <col min="4122" max="4122" width="7.85546875" style="9" customWidth="1"/>
    <col min="4123" max="4123" width="8.5703125" style="9" customWidth="1"/>
    <col min="4124" max="4124" width="7.85546875" style="9" customWidth="1"/>
    <col min="4125" max="4125" width="8.7109375" style="9" customWidth="1"/>
    <col min="4126" max="4358" width="9.140625" style="9"/>
    <col min="4359" max="4359" width="5.42578125" style="9" customWidth="1"/>
    <col min="4360" max="4360" width="45.140625" style="9" customWidth="1"/>
    <col min="4361" max="4362" width="12" style="9" customWidth="1"/>
    <col min="4363" max="4363" width="16.140625" style="9" customWidth="1"/>
    <col min="4364" max="4364" width="7.7109375" style="9" customWidth="1"/>
    <col min="4365" max="4365" width="12" style="9" customWidth="1"/>
    <col min="4366" max="4367" width="9" style="9" customWidth="1"/>
    <col min="4368" max="4368" width="11.28515625" style="9" customWidth="1"/>
    <col min="4369" max="4370" width="12" style="9" customWidth="1"/>
    <col min="4371" max="4371" width="17.140625" style="9" customWidth="1"/>
    <col min="4372" max="4372" width="9" style="9" customWidth="1"/>
    <col min="4373" max="4373" width="12" style="9" customWidth="1"/>
    <col min="4374" max="4375" width="9" style="9" customWidth="1"/>
    <col min="4376" max="4376" width="9.85546875" style="9" customWidth="1"/>
    <col min="4377" max="4377" width="10.140625" style="9" customWidth="1"/>
    <col min="4378" max="4378" width="7.85546875" style="9" customWidth="1"/>
    <col min="4379" max="4379" width="8.5703125" style="9" customWidth="1"/>
    <col min="4380" max="4380" width="7.85546875" style="9" customWidth="1"/>
    <col min="4381" max="4381" width="8.7109375" style="9" customWidth="1"/>
    <col min="4382" max="4614" width="9.140625" style="9"/>
    <col min="4615" max="4615" width="5.42578125" style="9" customWidth="1"/>
    <col min="4616" max="4616" width="45.140625" style="9" customWidth="1"/>
    <col min="4617" max="4618" width="12" style="9" customWidth="1"/>
    <col min="4619" max="4619" width="16.140625" style="9" customWidth="1"/>
    <col min="4620" max="4620" width="7.7109375" style="9" customWidth="1"/>
    <col min="4621" max="4621" width="12" style="9" customWidth="1"/>
    <col min="4622" max="4623" width="9" style="9" customWidth="1"/>
    <col min="4624" max="4624" width="11.28515625" style="9" customWidth="1"/>
    <col min="4625" max="4626" width="12" style="9" customWidth="1"/>
    <col min="4627" max="4627" width="17.140625" style="9" customWidth="1"/>
    <col min="4628" max="4628" width="9" style="9" customWidth="1"/>
    <col min="4629" max="4629" width="12" style="9" customWidth="1"/>
    <col min="4630" max="4631" width="9" style="9" customWidth="1"/>
    <col min="4632" max="4632" width="9.85546875" style="9" customWidth="1"/>
    <col min="4633" max="4633" width="10.140625" style="9" customWidth="1"/>
    <col min="4634" max="4634" width="7.85546875" style="9" customWidth="1"/>
    <col min="4635" max="4635" width="8.5703125" style="9" customWidth="1"/>
    <col min="4636" max="4636" width="7.85546875" style="9" customWidth="1"/>
    <col min="4637" max="4637" width="8.7109375" style="9" customWidth="1"/>
    <col min="4638" max="4870" width="9.140625" style="9"/>
    <col min="4871" max="4871" width="5.42578125" style="9" customWidth="1"/>
    <col min="4872" max="4872" width="45.140625" style="9" customWidth="1"/>
    <col min="4873" max="4874" width="12" style="9" customWidth="1"/>
    <col min="4875" max="4875" width="16.140625" style="9" customWidth="1"/>
    <col min="4876" max="4876" width="7.7109375" style="9" customWidth="1"/>
    <col min="4877" max="4877" width="12" style="9" customWidth="1"/>
    <col min="4878" max="4879" width="9" style="9" customWidth="1"/>
    <col min="4880" max="4880" width="11.28515625" style="9" customWidth="1"/>
    <col min="4881" max="4882" width="12" style="9" customWidth="1"/>
    <col min="4883" max="4883" width="17.140625" style="9" customWidth="1"/>
    <col min="4884" max="4884" width="9" style="9" customWidth="1"/>
    <col min="4885" max="4885" width="12" style="9" customWidth="1"/>
    <col min="4886" max="4887" width="9" style="9" customWidth="1"/>
    <col min="4888" max="4888" width="9.85546875" style="9" customWidth="1"/>
    <col min="4889" max="4889" width="10.140625" style="9" customWidth="1"/>
    <col min="4890" max="4890" width="7.85546875" style="9" customWidth="1"/>
    <col min="4891" max="4891" width="8.5703125" style="9" customWidth="1"/>
    <col min="4892" max="4892" width="7.85546875" style="9" customWidth="1"/>
    <col min="4893" max="4893" width="8.7109375" style="9" customWidth="1"/>
    <col min="4894" max="5126" width="9.140625" style="9"/>
    <col min="5127" max="5127" width="5.42578125" style="9" customWidth="1"/>
    <col min="5128" max="5128" width="45.140625" style="9" customWidth="1"/>
    <col min="5129" max="5130" width="12" style="9" customWidth="1"/>
    <col min="5131" max="5131" width="16.140625" style="9" customWidth="1"/>
    <col min="5132" max="5132" width="7.7109375" style="9" customWidth="1"/>
    <col min="5133" max="5133" width="12" style="9" customWidth="1"/>
    <col min="5134" max="5135" width="9" style="9" customWidth="1"/>
    <col min="5136" max="5136" width="11.28515625" style="9" customWidth="1"/>
    <col min="5137" max="5138" width="12" style="9" customWidth="1"/>
    <col min="5139" max="5139" width="17.140625" style="9" customWidth="1"/>
    <col min="5140" max="5140" width="9" style="9" customWidth="1"/>
    <col min="5141" max="5141" width="12" style="9" customWidth="1"/>
    <col min="5142" max="5143" width="9" style="9" customWidth="1"/>
    <col min="5144" max="5144" width="9.85546875" style="9" customWidth="1"/>
    <col min="5145" max="5145" width="10.140625" style="9" customWidth="1"/>
    <col min="5146" max="5146" width="7.85546875" style="9" customWidth="1"/>
    <col min="5147" max="5147" width="8.5703125" style="9" customWidth="1"/>
    <col min="5148" max="5148" width="7.85546875" style="9" customWidth="1"/>
    <col min="5149" max="5149" width="8.7109375" style="9" customWidth="1"/>
    <col min="5150" max="5382" width="9.140625" style="9"/>
    <col min="5383" max="5383" width="5.42578125" style="9" customWidth="1"/>
    <col min="5384" max="5384" width="45.140625" style="9" customWidth="1"/>
    <col min="5385" max="5386" width="12" style="9" customWidth="1"/>
    <col min="5387" max="5387" width="16.140625" style="9" customWidth="1"/>
    <col min="5388" max="5388" width="7.7109375" style="9" customWidth="1"/>
    <col min="5389" max="5389" width="12" style="9" customWidth="1"/>
    <col min="5390" max="5391" width="9" style="9" customWidth="1"/>
    <col min="5392" max="5392" width="11.28515625" style="9" customWidth="1"/>
    <col min="5393" max="5394" width="12" style="9" customWidth="1"/>
    <col min="5395" max="5395" width="17.140625" style="9" customWidth="1"/>
    <col min="5396" max="5396" width="9" style="9" customWidth="1"/>
    <col min="5397" max="5397" width="12" style="9" customWidth="1"/>
    <col min="5398" max="5399" width="9" style="9" customWidth="1"/>
    <col min="5400" max="5400" width="9.85546875" style="9" customWidth="1"/>
    <col min="5401" max="5401" width="10.140625" style="9" customWidth="1"/>
    <col min="5402" max="5402" width="7.85546875" style="9" customWidth="1"/>
    <col min="5403" max="5403" width="8.5703125" style="9" customWidth="1"/>
    <col min="5404" max="5404" width="7.85546875" style="9" customWidth="1"/>
    <col min="5405" max="5405" width="8.7109375" style="9" customWidth="1"/>
    <col min="5406" max="5638" width="9.140625" style="9"/>
    <col min="5639" max="5639" width="5.42578125" style="9" customWidth="1"/>
    <col min="5640" max="5640" width="45.140625" style="9" customWidth="1"/>
    <col min="5641" max="5642" width="12" style="9" customWidth="1"/>
    <col min="5643" max="5643" width="16.140625" style="9" customWidth="1"/>
    <col min="5644" max="5644" width="7.7109375" style="9" customWidth="1"/>
    <col min="5645" max="5645" width="12" style="9" customWidth="1"/>
    <col min="5646" max="5647" width="9" style="9" customWidth="1"/>
    <col min="5648" max="5648" width="11.28515625" style="9" customWidth="1"/>
    <col min="5649" max="5650" width="12" style="9" customWidth="1"/>
    <col min="5651" max="5651" width="17.140625" style="9" customWidth="1"/>
    <col min="5652" max="5652" width="9" style="9" customWidth="1"/>
    <col min="5653" max="5653" width="12" style="9" customWidth="1"/>
    <col min="5654" max="5655" width="9" style="9" customWidth="1"/>
    <col min="5656" max="5656" width="9.85546875" style="9" customWidth="1"/>
    <col min="5657" max="5657" width="10.140625" style="9" customWidth="1"/>
    <col min="5658" max="5658" width="7.85546875" style="9" customWidth="1"/>
    <col min="5659" max="5659" width="8.5703125" style="9" customWidth="1"/>
    <col min="5660" max="5660" width="7.85546875" style="9" customWidth="1"/>
    <col min="5661" max="5661" width="8.7109375" style="9" customWidth="1"/>
    <col min="5662" max="5894" width="9.140625" style="9"/>
    <col min="5895" max="5895" width="5.42578125" style="9" customWidth="1"/>
    <col min="5896" max="5896" width="45.140625" style="9" customWidth="1"/>
    <col min="5897" max="5898" width="12" style="9" customWidth="1"/>
    <col min="5899" max="5899" width="16.140625" style="9" customWidth="1"/>
    <col min="5900" max="5900" width="7.7109375" style="9" customWidth="1"/>
    <col min="5901" max="5901" width="12" style="9" customWidth="1"/>
    <col min="5902" max="5903" width="9" style="9" customWidth="1"/>
    <col min="5904" max="5904" width="11.28515625" style="9" customWidth="1"/>
    <col min="5905" max="5906" width="12" style="9" customWidth="1"/>
    <col min="5907" max="5907" width="17.140625" style="9" customWidth="1"/>
    <col min="5908" max="5908" width="9" style="9" customWidth="1"/>
    <col min="5909" max="5909" width="12" style="9" customWidth="1"/>
    <col min="5910" max="5911" width="9" style="9" customWidth="1"/>
    <col min="5912" max="5912" width="9.85546875" style="9" customWidth="1"/>
    <col min="5913" max="5913" width="10.140625" style="9" customWidth="1"/>
    <col min="5914" max="5914" width="7.85546875" style="9" customWidth="1"/>
    <col min="5915" max="5915" width="8.5703125" style="9" customWidth="1"/>
    <col min="5916" max="5916" width="7.85546875" style="9" customWidth="1"/>
    <col min="5917" max="5917" width="8.7109375" style="9" customWidth="1"/>
    <col min="5918" max="6150" width="9.140625" style="9"/>
    <col min="6151" max="6151" width="5.42578125" style="9" customWidth="1"/>
    <col min="6152" max="6152" width="45.140625" style="9" customWidth="1"/>
    <col min="6153" max="6154" width="12" style="9" customWidth="1"/>
    <col min="6155" max="6155" width="16.140625" style="9" customWidth="1"/>
    <col min="6156" max="6156" width="7.7109375" style="9" customWidth="1"/>
    <col min="6157" max="6157" width="12" style="9" customWidth="1"/>
    <col min="6158" max="6159" width="9" style="9" customWidth="1"/>
    <col min="6160" max="6160" width="11.28515625" style="9" customWidth="1"/>
    <col min="6161" max="6162" width="12" style="9" customWidth="1"/>
    <col min="6163" max="6163" width="17.140625" style="9" customWidth="1"/>
    <col min="6164" max="6164" width="9" style="9" customWidth="1"/>
    <col min="6165" max="6165" width="12" style="9" customWidth="1"/>
    <col min="6166" max="6167" width="9" style="9" customWidth="1"/>
    <col min="6168" max="6168" width="9.85546875" style="9" customWidth="1"/>
    <col min="6169" max="6169" width="10.140625" style="9" customWidth="1"/>
    <col min="6170" max="6170" width="7.85546875" style="9" customWidth="1"/>
    <col min="6171" max="6171" width="8.5703125" style="9" customWidth="1"/>
    <col min="6172" max="6172" width="7.85546875" style="9" customWidth="1"/>
    <col min="6173" max="6173" width="8.7109375" style="9" customWidth="1"/>
    <col min="6174" max="6406" width="9.140625" style="9"/>
    <col min="6407" max="6407" width="5.42578125" style="9" customWidth="1"/>
    <col min="6408" max="6408" width="45.140625" style="9" customWidth="1"/>
    <col min="6409" max="6410" width="12" style="9" customWidth="1"/>
    <col min="6411" max="6411" width="16.140625" style="9" customWidth="1"/>
    <col min="6412" max="6412" width="7.7109375" style="9" customWidth="1"/>
    <col min="6413" max="6413" width="12" style="9" customWidth="1"/>
    <col min="6414" max="6415" width="9" style="9" customWidth="1"/>
    <col min="6416" max="6416" width="11.28515625" style="9" customWidth="1"/>
    <col min="6417" max="6418" width="12" style="9" customWidth="1"/>
    <col min="6419" max="6419" width="17.140625" style="9" customWidth="1"/>
    <col min="6420" max="6420" width="9" style="9" customWidth="1"/>
    <col min="6421" max="6421" width="12" style="9" customWidth="1"/>
    <col min="6422" max="6423" width="9" style="9" customWidth="1"/>
    <col min="6424" max="6424" width="9.85546875" style="9" customWidth="1"/>
    <col min="6425" max="6425" width="10.140625" style="9" customWidth="1"/>
    <col min="6426" max="6426" width="7.85546875" style="9" customWidth="1"/>
    <col min="6427" max="6427" width="8.5703125" style="9" customWidth="1"/>
    <col min="6428" max="6428" width="7.85546875" style="9" customWidth="1"/>
    <col min="6429" max="6429" width="8.7109375" style="9" customWidth="1"/>
    <col min="6430" max="6662" width="9.140625" style="9"/>
    <col min="6663" max="6663" width="5.42578125" style="9" customWidth="1"/>
    <col min="6664" max="6664" width="45.140625" style="9" customWidth="1"/>
    <col min="6665" max="6666" width="12" style="9" customWidth="1"/>
    <col min="6667" max="6667" width="16.140625" style="9" customWidth="1"/>
    <col min="6668" max="6668" width="7.7109375" style="9" customWidth="1"/>
    <col min="6669" max="6669" width="12" style="9" customWidth="1"/>
    <col min="6670" max="6671" width="9" style="9" customWidth="1"/>
    <col min="6672" max="6672" width="11.28515625" style="9" customWidth="1"/>
    <col min="6673" max="6674" width="12" style="9" customWidth="1"/>
    <col min="6675" max="6675" width="17.140625" style="9" customWidth="1"/>
    <col min="6676" max="6676" width="9" style="9" customWidth="1"/>
    <col min="6677" max="6677" width="12" style="9" customWidth="1"/>
    <col min="6678" max="6679" width="9" style="9" customWidth="1"/>
    <col min="6680" max="6680" width="9.85546875" style="9" customWidth="1"/>
    <col min="6681" max="6681" width="10.140625" style="9" customWidth="1"/>
    <col min="6682" max="6682" width="7.85546875" style="9" customWidth="1"/>
    <col min="6683" max="6683" width="8.5703125" style="9" customWidth="1"/>
    <col min="6684" max="6684" width="7.85546875" style="9" customWidth="1"/>
    <col min="6685" max="6685" width="8.7109375" style="9" customWidth="1"/>
    <col min="6686" max="6918" width="9.140625" style="9"/>
    <col min="6919" max="6919" width="5.42578125" style="9" customWidth="1"/>
    <col min="6920" max="6920" width="45.140625" style="9" customWidth="1"/>
    <col min="6921" max="6922" width="12" style="9" customWidth="1"/>
    <col min="6923" max="6923" width="16.140625" style="9" customWidth="1"/>
    <col min="6924" max="6924" width="7.7109375" style="9" customWidth="1"/>
    <col min="6925" max="6925" width="12" style="9" customWidth="1"/>
    <col min="6926" max="6927" width="9" style="9" customWidth="1"/>
    <col min="6928" max="6928" width="11.28515625" style="9" customWidth="1"/>
    <col min="6929" max="6930" width="12" style="9" customWidth="1"/>
    <col min="6931" max="6931" width="17.140625" style="9" customWidth="1"/>
    <col min="6932" max="6932" width="9" style="9" customWidth="1"/>
    <col min="6933" max="6933" width="12" style="9" customWidth="1"/>
    <col min="6934" max="6935" width="9" style="9" customWidth="1"/>
    <col min="6936" max="6936" width="9.85546875" style="9" customWidth="1"/>
    <col min="6937" max="6937" width="10.140625" style="9" customWidth="1"/>
    <col min="6938" max="6938" width="7.85546875" style="9" customWidth="1"/>
    <col min="6939" max="6939" width="8.5703125" style="9" customWidth="1"/>
    <col min="6940" max="6940" width="7.85546875" style="9" customWidth="1"/>
    <col min="6941" max="6941" width="8.7109375" style="9" customWidth="1"/>
    <col min="6942" max="7174" width="9.140625" style="9"/>
    <col min="7175" max="7175" width="5.42578125" style="9" customWidth="1"/>
    <col min="7176" max="7176" width="45.140625" style="9" customWidth="1"/>
    <col min="7177" max="7178" width="12" style="9" customWidth="1"/>
    <col min="7179" max="7179" width="16.140625" style="9" customWidth="1"/>
    <col min="7180" max="7180" width="7.7109375" style="9" customWidth="1"/>
    <col min="7181" max="7181" width="12" style="9" customWidth="1"/>
    <col min="7182" max="7183" width="9" style="9" customWidth="1"/>
    <col min="7184" max="7184" width="11.28515625" style="9" customWidth="1"/>
    <col min="7185" max="7186" width="12" style="9" customWidth="1"/>
    <col min="7187" max="7187" width="17.140625" style="9" customWidth="1"/>
    <col min="7188" max="7188" width="9" style="9" customWidth="1"/>
    <col min="7189" max="7189" width="12" style="9" customWidth="1"/>
    <col min="7190" max="7191" width="9" style="9" customWidth="1"/>
    <col min="7192" max="7192" width="9.85546875" style="9" customWidth="1"/>
    <col min="7193" max="7193" width="10.140625" style="9" customWidth="1"/>
    <col min="7194" max="7194" width="7.85546875" style="9" customWidth="1"/>
    <col min="7195" max="7195" width="8.5703125" style="9" customWidth="1"/>
    <col min="7196" max="7196" width="7.85546875" style="9" customWidth="1"/>
    <col min="7197" max="7197" width="8.7109375" style="9" customWidth="1"/>
    <col min="7198" max="7430" width="9.140625" style="9"/>
    <col min="7431" max="7431" width="5.42578125" style="9" customWidth="1"/>
    <col min="7432" max="7432" width="45.140625" style="9" customWidth="1"/>
    <col min="7433" max="7434" width="12" style="9" customWidth="1"/>
    <col min="7435" max="7435" width="16.140625" style="9" customWidth="1"/>
    <col min="7436" max="7436" width="7.7109375" style="9" customWidth="1"/>
    <col min="7437" max="7437" width="12" style="9" customWidth="1"/>
    <col min="7438" max="7439" width="9" style="9" customWidth="1"/>
    <col min="7440" max="7440" width="11.28515625" style="9" customWidth="1"/>
    <col min="7441" max="7442" width="12" style="9" customWidth="1"/>
    <col min="7443" max="7443" width="17.140625" style="9" customWidth="1"/>
    <col min="7444" max="7444" width="9" style="9" customWidth="1"/>
    <col min="7445" max="7445" width="12" style="9" customWidth="1"/>
    <col min="7446" max="7447" width="9" style="9" customWidth="1"/>
    <col min="7448" max="7448" width="9.85546875" style="9" customWidth="1"/>
    <col min="7449" max="7449" width="10.140625" style="9" customWidth="1"/>
    <col min="7450" max="7450" width="7.85546875" style="9" customWidth="1"/>
    <col min="7451" max="7451" width="8.5703125" style="9" customWidth="1"/>
    <col min="7452" max="7452" width="7.85546875" style="9" customWidth="1"/>
    <col min="7453" max="7453" width="8.7109375" style="9" customWidth="1"/>
    <col min="7454" max="7686" width="9.140625" style="9"/>
    <col min="7687" max="7687" width="5.42578125" style="9" customWidth="1"/>
    <col min="7688" max="7688" width="45.140625" style="9" customWidth="1"/>
    <col min="7689" max="7690" width="12" style="9" customWidth="1"/>
    <col min="7691" max="7691" width="16.140625" style="9" customWidth="1"/>
    <col min="7692" max="7692" width="7.7109375" style="9" customWidth="1"/>
    <col min="7693" max="7693" width="12" style="9" customWidth="1"/>
    <col min="7694" max="7695" width="9" style="9" customWidth="1"/>
    <col min="7696" max="7696" width="11.28515625" style="9" customWidth="1"/>
    <col min="7697" max="7698" width="12" style="9" customWidth="1"/>
    <col min="7699" max="7699" width="17.140625" style="9" customWidth="1"/>
    <col min="7700" max="7700" width="9" style="9" customWidth="1"/>
    <col min="7701" max="7701" width="12" style="9" customWidth="1"/>
    <col min="7702" max="7703" width="9" style="9" customWidth="1"/>
    <col min="7704" max="7704" width="9.85546875" style="9" customWidth="1"/>
    <col min="7705" max="7705" width="10.140625" style="9" customWidth="1"/>
    <col min="7706" max="7706" width="7.85546875" style="9" customWidth="1"/>
    <col min="7707" max="7707" width="8.5703125" style="9" customWidth="1"/>
    <col min="7708" max="7708" width="7.85546875" style="9" customWidth="1"/>
    <col min="7709" max="7709" width="8.7109375" style="9" customWidth="1"/>
    <col min="7710" max="7942" width="9.140625" style="9"/>
    <col min="7943" max="7943" width="5.42578125" style="9" customWidth="1"/>
    <col min="7944" max="7944" width="45.140625" style="9" customWidth="1"/>
    <col min="7945" max="7946" width="12" style="9" customWidth="1"/>
    <col min="7947" max="7947" width="16.140625" style="9" customWidth="1"/>
    <col min="7948" max="7948" width="7.7109375" style="9" customWidth="1"/>
    <col min="7949" max="7949" width="12" style="9" customWidth="1"/>
    <col min="7950" max="7951" width="9" style="9" customWidth="1"/>
    <col min="7952" max="7952" width="11.28515625" style="9" customWidth="1"/>
    <col min="7953" max="7954" width="12" style="9" customWidth="1"/>
    <col min="7955" max="7955" width="17.140625" style="9" customWidth="1"/>
    <col min="7956" max="7956" width="9" style="9" customWidth="1"/>
    <col min="7957" max="7957" width="12" style="9" customWidth="1"/>
    <col min="7958" max="7959" width="9" style="9" customWidth="1"/>
    <col min="7960" max="7960" width="9.85546875" style="9" customWidth="1"/>
    <col min="7961" max="7961" width="10.140625" style="9" customWidth="1"/>
    <col min="7962" max="7962" width="7.85546875" style="9" customWidth="1"/>
    <col min="7963" max="7963" width="8.5703125" style="9" customWidth="1"/>
    <col min="7964" max="7964" width="7.85546875" style="9" customWidth="1"/>
    <col min="7965" max="7965" width="8.7109375" style="9" customWidth="1"/>
    <col min="7966" max="8198" width="9.140625" style="9"/>
    <col min="8199" max="8199" width="5.42578125" style="9" customWidth="1"/>
    <col min="8200" max="8200" width="45.140625" style="9" customWidth="1"/>
    <col min="8201" max="8202" width="12" style="9" customWidth="1"/>
    <col min="8203" max="8203" width="16.140625" style="9" customWidth="1"/>
    <col min="8204" max="8204" width="7.7109375" style="9" customWidth="1"/>
    <col min="8205" max="8205" width="12" style="9" customWidth="1"/>
    <col min="8206" max="8207" width="9" style="9" customWidth="1"/>
    <col min="8208" max="8208" width="11.28515625" style="9" customWidth="1"/>
    <col min="8209" max="8210" width="12" style="9" customWidth="1"/>
    <col min="8211" max="8211" width="17.140625" style="9" customWidth="1"/>
    <col min="8212" max="8212" width="9" style="9" customWidth="1"/>
    <col min="8213" max="8213" width="12" style="9" customWidth="1"/>
    <col min="8214" max="8215" width="9" style="9" customWidth="1"/>
    <col min="8216" max="8216" width="9.85546875" style="9" customWidth="1"/>
    <col min="8217" max="8217" width="10.140625" style="9" customWidth="1"/>
    <col min="8218" max="8218" width="7.85546875" style="9" customWidth="1"/>
    <col min="8219" max="8219" width="8.5703125" style="9" customWidth="1"/>
    <col min="8220" max="8220" width="7.85546875" style="9" customWidth="1"/>
    <col min="8221" max="8221" width="8.7109375" style="9" customWidth="1"/>
    <col min="8222" max="8454" width="9.140625" style="9"/>
    <col min="8455" max="8455" width="5.42578125" style="9" customWidth="1"/>
    <col min="8456" max="8456" width="45.140625" style="9" customWidth="1"/>
    <col min="8457" max="8458" width="12" style="9" customWidth="1"/>
    <col min="8459" max="8459" width="16.140625" style="9" customWidth="1"/>
    <col min="8460" max="8460" width="7.7109375" style="9" customWidth="1"/>
    <col min="8461" max="8461" width="12" style="9" customWidth="1"/>
    <col min="8462" max="8463" width="9" style="9" customWidth="1"/>
    <col min="8464" max="8464" width="11.28515625" style="9" customWidth="1"/>
    <col min="8465" max="8466" width="12" style="9" customWidth="1"/>
    <col min="8467" max="8467" width="17.140625" style="9" customWidth="1"/>
    <col min="8468" max="8468" width="9" style="9" customWidth="1"/>
    <col min="8469" max="8469" width="12" style="9" customWidth="1"/>
    <col min="8470" max="8471" width="9" style="9" customWidth="1"/>
    <col min="8472" max="8472" width="9.85546875" style="9" customWidth="1"/>
    <col min="8473" max="8473" width="10.140625" style="9" customWidth="1"/>
    <col min="8474" max="8474" width="7.85546875" style="9" customWidth="1"/>
    <col min="8475" max="8475" width="8.5703125" style="9" customWidth="1"/>
    <col min="8476" max="8476" width="7.85546875" style="9" customWidth="1"/>
    <col min="8477" max="8477" width="8.7109375" style="9" customWidth="1"/>
    <col min="8478" max="8710" width="9.140625" style="9"/>
    <col min="8711" max="8711" width="5.42578125" style="9" customWidth="1"/>
    <col min="8712" max="8712" width="45.140625" style="9" customWidth="1"/>
    <col min="8713" max="8714" width="12" style="9" customWidth="1"/>
    <col min="8715" max="8715" width="16.140625" style="9" customWidth="1"/>
    <col min="8716" max="8716" width="7.7109375" style="9" customWidth="1"/>
    <col min="8717" max="8717" width="12" style="9" customWidth="1"/>
    <col min="8718" max="8719" width="9" style="9" customWidth="1"/>
    <col min="8720" max="8720" width="11.28515625" style="9" customWidth="1"/>
    <col min="8721" max="8722" width="12" style="9" customWidth="1"/>
    <col min="8723" max="8723" width="17.140625" style="9" customWidth="1"/>
    <col min="8724" max="8724" width="9" style="9" customWidth="1"/>
    <col min="8725" max="8725" width="12" style="9" customWidth="1"/>
    <col min="8726" max="8727" width="9" style="9" customWidth="1"/>
    <col min="8728" max="8728" width="9.85546875" style="9" customWidth="1"/>
    <col min="8729" max="8729" width="10.140625" style="9" customWidth="1"/>
    <col min="8730" max="8730" width="7.85546875" style="9" customWidth="1"/>
    <col min="8731" max="8731" width="8.5703125" style="9" customWidth="1"/>
    <col min="8732" max="8732" width="7.85546875" style="9" customWidth="1"/>
    <col min="8733" max="8733" width="8.7109375" style="9" customWidth="1"/>
    <col min="8734" max="8966" width="9.140625" style="9"/>
    <col min="8967" max="8967" width="5.42578125" style="9" customWidth="1"/>
    <col min="8968" max="8968" width="45.140625" style="9" customWidth="1"/>
    <col min="8969" max="8970" width="12" style="9" customWidth="1"/>
    <col min="8971" max="8971" width="16.140625" style="9" customWidth="1"/>
    <col min="8972" max="8972" width="7.7109375" style="9" customWidth="1"/>
    <col min="8973" max="8973" width="12" style="9" customWidth="1"/>
    <col min="8974" max="8975" width="9" style="9" customWidth="1"/>
    <col min="8976" max="8976" width="11.28515625" style="9" customWidth="1"/>
    <col min="8977" max="8978" width="12" style="9" customWidth="1"/>
    <col min="8979" max="8979" width="17.140625" style="9" customWidth="1"/>
    <col min="8980" max="8980" width="9" style="9" customWidth="1"/>
    <col min="8981" max="8981" width="12" style="9" customWidth="1"/>
    <col min="8982" max="8983" width="9" style="9" customWidth="1"/>
    <col min="8984" max="8984" width="9.85546875" style="9" customWidth="1"/>
    <col min="8985" max="8985" width="10.140625" style="9" customWidth="1"/>
    <col min="8986" max="8986" width="7.85546875" style="9" customWidth="1"/>
    <col min="8987" max="8987" width="8.5703125" style="9" customWidth="1"/>
    <col min="8988" max="8988" width="7.85546875" style="9" customWidth="1"/>
    <col min="8989" max="8989" width="8.7109375" style="9" customWidth="1"/>
    <col min="8990" max="9222" width="9.140625" style="9"/>
    <col min="9223" max="9223" width="5.42578125" style="9" customWidth="1"/>
    <col min="9224" max="9224" width="45.140625" style="9" customWidth="1"/>
    <col min="9225" max="9226" width="12" style="9" customWidth="1"/>
    <col min="9227" max="9227" width="16.140625" style="9" customWidth="1"/>
    <col min="9228" max="9228" width="7.7109375" style="9" customWidth="1"/>
    <col min="9229" max="9229" width="12" style="9" customWidth="1"/>
    <col min="9230" max="9231" width="9" style="9" customWidth="1"/>
    <col min="9232" max="9232" width="11.28515625" style="9" customWidth="1"/>
    <col min="9233" max="9234" width="12" style="9" customWidth="1"/>
    <col min="9235" max="9235" width="17.140625" style="9" customWidth="1"/>
    <col min="9236" max="9236" width="9" style="9" customWidth="1"/>
    <col min="9237" max="9237" width="12" style="9" customWidth="1"/>
    <col min="9238" max="9239" width="9" style="9" customWidth="1"/>
    <col min="9240" max="9240" width="9.85546875" style="9" customWidth="1"/>
    <col min="9241" max="9241" width="10.140625" style="9" customWidth="1"/>
    <col min="9242" max="9242" width="7.85546875" style="9" customWidth="1"/>
    <col min="9243" max="9243" width="8.5703125" style="9" customWidth="1"/>
    <col min="9244" max="9244" width="7.85546875" style="9" customWidth="1"/>
    <col min="9245" max="9245" width="8.7109375" style="9" customWidth="1"/>
    <col min="9246" max="9478" width="9.140625" style="9"/>
    <col min="9479" max="9479" width="5.42578125" style="9" customWidth="1"/>
    <col min="9480" max="9480" width="45.140625" style="9" customWidth="1"/>
    <col min="9481" max="9482" width="12" style="9" customWidth="1"/>
    <col min="9483" max="9483" width="16.140625" style="9" customWidth="1"/>
    <col min="9484" max="9484" width="7.7109375" style="9" customWidth="1"/>
    <col min="9485" max="9485" width="12" style="9" customWidth="1"/>
    <col min="9486" max="9487" width="9" style="9" customWidth="1"/>
    <col min="9488" max="9488" width="11.28515625" style="9" customWidth="1"/>
    <col min="9489" max="9490" width="12" style="9" customWidth="1"/>
    <col min="9491" max="9491" width="17.140625" style="9" customWidth="1"/>
    <col min="9492" max="9492" width="9" style="9" customWidth="1"/>
    <col min="9493" max="9493" width="12" style="9" customWidth="1"/>
    <col min="9494" max="9495" width="9" style="9" customWidth="1"/>
    <col min="9496" max="9496" width="9.85546875" style="9" customWidth="1"/>
    <col min="9497" max="9497" width="10.140625" style="9" customWidth="1"/>
    <col min="9498" max="9498" width="7.85546875" style="9" customWidth="1"/>
    <col min="9499" max="9499" width="8.5703125" style="9" customWidth="1"/>
    <col min="9500" max="9500" width="7.85546875" style="9" customWidth="1"/>
    <col min="9501" max="9501" width="8.7109375" style="9" customWidth="1"/>
    <col min="9502" max="9734" width="9.140625" style="9"/>
    <col min="9735" max="9735" width="5.42578125" style="9" customWidth="1"/>
    <col min="9736" max="9736" width="45.140625" style="9" customWidth="1"/>
    <col min="9737" max="9738" width="12" style="9" customWidth="1"/>
    <col min="9739" max="9739" width="16.140625" style="9" customWidth="1"/>
    <col min="9740" max="9740" width="7.7109375" style="9" customWidth="1"/>
    <col min="9741" max="9741" width="12" style="9" customWidth="1"/>
    <col min="9742" max="9743" width="9" style="9" customWidth="1"/>
    <col min="9744" max="9744" width="11.28515625" style="9" customWidth="1"/>
    <col min="9745" max="9746" width="12" style="9" customWidth="1"/>
    <col min="9747" max="9747" width="17.140625" style="9" customWidth="1"/>
    <col min="9748" max="9748" width="9" style="9" customWidth="1"/>
    <col min="9749" max="9749" width="12" style="9" customWidth="1"/>
    <col min="9750" max="9751" width="9" style="9" customWidth="1"/>
    <col min="9752" max="9752" width="9.85546875" style="9" customWidth="1"/>
    <col min="9753" max="9753" width="10.140625" style="9" customWidth="1"/>
    <col min="9754" max="9754" width="7.85546875" style="9" customWidth="1"/>
    <col min="9755" max="9755" width="8.5703125" style="9" customWidth="1"/>
    <col min="9756" max="9756" width="7.85546875" style="9" customWidth="1"/>
    <col min="9757" max="9757" width="8.7109375" style="9" customWidth="1"/>
    <col min="9758" max="9990" width="9.140625" style="9"/>
    <col min="9991" max="9991" width="5.42578125" style="9" customWidth="1"/>
    <col min="9992" max="9992" width="45.140625" style="9" customWidth="1"/>
    <col min="9993" max="9994" width="12" style="9" customWidth="1"/>
    <col min="9995" max="9995" width="16.140625" style="9" customWidth="1"/>
    <col min="9996" max="9996" width="7.7109375" style="9" customWidth="1"/>
    <col min="9997" max="9997" width="12" style="9" customWidth="1"/>
    <col min="9998" max="9999" width="9" style="9" customWidth="1"/>
    <col min="10000" max="10000" width="11.28515625" style="9" customWidth="1"/>
    <col min="10001" max="10002" width="12" style="9" customWidth="1"/>
    <col min="10003" max="10003" width="17.140625" style="9" customWidth="1"/>
    <col min="10004" max="10004" width="9" style="9" customWidth="1"/>
    <col min="10005" max="10005" width="12" style="9" customWidth="1"/>
    <col min="10006" max="10007" width="9" style="9" customWidth="1"/>
    <col min="10008" max="10008" width="9.85546875" style="9" customWidth="1"/>
    <col min="10009" max="10009" width="10.140625" style="9" customWidth="1"/>
    <col min="10010" max="10010" width="7.85546875" style="9" customWidth="1"/>
    <col min="10011" max="10011" width="8.5703125" style="9" customWidth="1"/>
    <col min="10012" max="10012" width="7.85546875" style="9" customWidth="1"/>
    <col min="10013" max="10013" width="8.7109375" style="9" customWidth="1"/>
    <col min="10014" max="10246" width="9.140625" style="9"/>
    <col min="10247" max="10247" width="5.42578125" style="9" customWidth="1"/>
    <col min="10248" max="10248" width="45.140625" style="9" customWidth="1"/>
    <col min="10249" max="10250" width="12" style="9" customWidth="1"/>
    <col min="10251" max="10251" width="16.140625" style="9" customWidth="1"/>
    <col min="10252" max="10252" width="7.7109375" style="9" customWidth="1"/>
    <col min="10253" max="10253" width="12" style="9" customWidth="1"/>
    <col min="10254" max="10255" width="9" style="9" customWidth="1"/>
    <col min="10256" max="10256" width="11.28515625" style="9" customWidth="1"/>
    <col min="10257" max="10258" width="12" style="9" customWidth="1"/>
    <col min="10259" max="10259" width="17.140625" style="9" customWidth="1"/>
    <col min="10260" max="10260" width="9" style="9" customWidth="1"/>
    <col min="10261" max="10261" width="12" style="9" customWidth="1"/>
    <col min="10262" max="10263" width="9" style="9" customWidth="1"/>
    <col min="10264" max="10264" width="9.85546875" style="9" customWidth="1"/>
    <col min="10265" max="10265" width="10.140625" style="9" customWidth="1"/>
    <col min="10266" max="10266" width="7.85546875" style="9" customWidth="1"/>
    <col min="10267" max="10267" width="8.5703125" style="9" customWidth="1"/>
    <col min="10268" max="10268" width="7.85546875" style="9" customWidth="1"/>
    <col min="10269" max="10269" width="8.7109375" style="9" customWidth="1"/>
    <col min="10270" max="10502" width="9.140625" style="9"/>
    <col min="10503" max="10503" width="5.42578125" style="9" customWidth="1"/>
    <col min="10504" max="10504" width="45.140625" style="9" customWidth="1"/>
    <col min="10505" max="10506" width="12" style="9" customWidth="1"/>
    <col min="10507" max="10507" width="16.140625" style="9" customWidth="1"/>
    <col min="10508" max="10508" width="7.7109375" style="9" customWidth="1"/>
    <col min="10509" max="10509" width="12" style="9" customWidth="1"/>
    <col min="10510" max="10511" width="9" style="9" customWidth="1"/>
    <col min="10512" max="10512" width="11.28515625" style="9" customWidth="1"/>
    <col min="10513" max="10514" width="12" style="9" customWidth="1"/>
    <col min="10515" max="10515" width="17.140625" style="9" customWidth="1"/>
    <col min="10516" max="10516" width="9" style="9" customWidth="1"/>
    <col min="10517" max="10517" width="12" style="9" customWidth="1"/>
    <col min="10518" max="10519" width="9" style="9" customWidth="1"/>
    <col min="10520" max="10520" width="9.85546875" style="9" customWidth="1"/>
    <col min="10521" max="10521" width="10.140625" style="9" customWidth="1"/>
    <col min="10522" max="10522" width="7.85546875" style="9" customWidth="1"/>
    <col min="10523" max="10523" width="8.5703125" style="9" customWidth="1"/>
    <col min="10524" max="10524" width="7.85546875" style="9" customWidth="1"/>
    <col min="10525" max="10525" width="8.7109375" style="9" customWidth="1"/>
    <col min="10526" max="10758" width="9.140625" style="9"/>
    <col min="10759" max="10759" width="5.42578125" style="9" customWidth="1"/>
    <col min="10760" max="10760" width="45.140625" style="9" customWidth="1"/>
    <col min="10761" max="10762" width="12" style="9" customWidth="1"/>
    <col min="10763" max="10763" width="16.140625" style="9" customWidth="1"/>
    <col min="10764" max="10764" width="7.7109375" style="9" customWidth="1"/>
    <col min="10765" max="10765" width="12" style="9" customWidth="1"/>
    <col min="10766" max="10767" width="9" style="9" customWidth="1"/>
    <col min="10768" max="10768" width="11.28515625" style="9" customWidth="1"/>
    <col min="10769" max="10770" width="12" style="9" customWidth="1"/>
    <col min="10771" max="10771" width="17.140625" style="9" customWidth="1"/>
    <col min="10772" max="10772" width="9" style="9" customWidth="1"/>
    <col min="10773" max="10773" width="12" style="9" customWidth="1"/>
    <col min="10774" max="10775" width="9" style="9" customWidth="1"/>
    <col min="10776" max="10776" width="9.85546875" style="9" customWidth="1"/>
    <col min="10777" max="10777" width="10.140625" style="9" customWidth="1"/>
    <col min="10778" max="10778" width="7.85546875" style="9" customWidth="1"/>
    <col min="10779" max="10779" width="8.5703125" style="9" customWidth="1"/>
    <col min="10780" max="10780" width="7.85546875" style="9" customWidth="1"/>
    <col min="10781" max="10781" width="8.7109375" style="9" customWidth="1"/>
    <col min="10782" max="11014" width="9.140625" style="9"/>
    <col min="11015" max="11015" width="5.42578125" style="9" customWidth="1"/>
    <col min="11016" max="11016" width="45.140625" style="9" customWidth="1"/>
    <col min="11017" max="11018" width="12" style="9" customWidth="1"/>
    <col min="11019" max="11019" width="16.140625" style="9" customWidth="1"/>
    <col min="11020" max="11020" width="7.7109375" style="9" customWidth="1"/>
    <col min="11021" max="11021" width="12" style="9" customWidth="1"/>
    <col min="11022" max="11023" width="9" style="9" customWidth="1"/>
    <col min="11024" max="11024" width="11.28515625" style="9" customWidth="1"/>
    <col min="11025" max="11026" width="12" style="9" customWidth="1"/>
    <col min="11027" max="11027" width="17.140625" style="9" customWidth="1"/>
    <col min="11028" max="11028" width="9" style="9" customWidth="1"/>
    <col min="11029" max="11029" width="12" style="9" customWidth="1"/>
    <col min="11030" max="11031" width="9" style="9" customWidth="1"/>
    <col min="11032" max="11032" width="9.85546875" style="9" customWidth="1"/>
    <col min="11033" max="11033" width="10.140625" style="9" customWidth="1"/>
    <col min="11034" max="11034" width="7.85546875" style="9" customWidth="1"/>
    <col min="11035" max="11035" width="8.5703125" style="9" customWidth="1"/>
    <col min="11036" max="11036" width="7.85546875" style="9" customWidth="1"/>
    <col min="11037" max="11037" width="8.7109375" style="9" customWidth="1"/>
    <col min="11038" max="11270" width="9.140625" style="9"/>
    <col min="11271" max="11271" width="5.42578125" style="9" customWidth="1"/>
    <col min="11272" max="11272" width="45.140625" style="9" customWidth="1"/>
    <col min="11273" max="11274" width="12" style="9" customWidth="1"/>
    <col min="11275" max="11275" width="16.140625" style="9" customWidth="1"/>
    <col min="11276" max="11276" width="7.7109375" style="9" customWidth="1"/>
    <col min="11277" max="11277" width="12" style="9" customWidth="1"/>
    <col min="11278" max="11279" width="9" style="9" customWidth="1"/>
    <col min="11280" max="11280" width="11.28515625" style="9" customWidth="1"/>
    <col min="11281" max="11282" width="12" style="9" customWidth="1"/>
    <col min="11283" max="11283" width="17.140625" style="9" customWidth="1"/>
    <col min="11284" max="11284" width="9" style="9" customWidth="1"/>
    <col min="11285" max="11285" width="12" style="9" customWidth="1"/>
    <col min="11286" max="11287" width="9" style="9" customWidth="1"/>
    <col min="11288" max="11288" width="9.85546875" style="9" customWidth="1"/>
    <col min="11289" max="11289" width="10.140625" style="9" customWidth="1"/>
    <col min="11290" max="11290" width="7.85546875" style="9" customWidth="1"/>
    <col min="11291" max="11291" width="8.5703125" style="9" customWidth="1"/>
    <col min="11292" max="11292" width="7.85546875" style="9" customWidth="1"/>
    <col min="11293" max="11293" width="8.7109375" style="9" customWidth="1"/>
    <col min="11294" max="11526" width="9.140625" style="9"/>
    <col min="11527" max="11527" width="5.42578125" style="9" customWidth="1"/>
    <col min="11528" max="11528" width="45.140625" style="9" customWidth="1"/>
    <col min="11529" max="11530" width="12" style="9" customWidth="1"/>
    <col min="11531" max="11531" width="16.140625" style="9" customWidth="1"/>
    <col min="11532" max="11532" width="7.7109375" style="9" customWidth="1"/>
    <col min="11533" max="11533" width="12" style="9" customWidth="1"/>
    <col min="11534" max="11535" width="9" style="9" customWidth="1"/>
    <col min="11536" max="11536" width="11.28515625" style="9" customWidth="1"/>
    <col min="11537" max="11538" width="12" style="9" customWidth="1"/>
    <col min="11539" max="11539" width="17.140625" style="9" customWidth="1"/>
    <col min="11540" max="11540" width="9" style="9" customWidth="1"/>
    <col min="11541" max="11541" width="12" style="9" customWidth="1"/>
    <col min="11542" max="11543" width="9" style="9" customWidth="1"/>
    <col min="11544" max="11544" width="9.85546875" style="9" customWidth="1"/>
    <col min="11545" max="11545" width="10.140625" style="9" customWidth="1"/>
    <col min="11546" max="11546" width="7.85546875" style="9" customWidth="1"/>
    <col min="11547" max="11547" width="8.5703125" style="9" customWidth="1"/>
    <col min="11548" max="11548" width="7.85546875" style="9" customWidth="1"/>
    <col min="11549" max="11549" width="8.7109375" style="9" customWidth="1"/>
    <col min="11550" max="11782" width="9.140625" style="9"/>
    <col min="11783" max="11783" width="5.42578125" style="9" customWidth="1"/>
    <col min="11784" max="11784" width="45.140625" style="9" customWidth="1"/>
    <col min="11785" max="11786" width="12" style="9" customWidth="1"/>
    <col min="11787" max="11787" width="16.140625" style="9" customWidth="1"/>
    <col min="11788" max="11788" width="7.7109375" style="9" customWidth="1"/>
    <col min="11789" max="11789" width="12" style="9" customWidth="1"/>
    <col min="11790" max="11791" width="9" style="9" customWidth="1"/>
    <col min="11792" max="11792" width="11.28515625" style="9" customWidth="1"/>
    <col min="11793" max="11794" width="12" style="9" customWidth="1"/>
    <col min="11795" max="11795" width="17.140625" style="9" customWidth="1"/>
    <col min="11796" max="11796" width="9" style="9" customWidth="1"/>
    <col min="11797" max="11797" width="12" style="9" customWidth="1"/>
    <col min="11798" max="11799" width="9" style="9" customWidth="1"/>
    <col min="11800" max="11800" width="9.85546875" style="9" customWidth="1"/>
    <col min="11801" max="11801" width="10.140625" style="9" customWidth="1"/>
    <col min="11802" max="11802" width="7.85546875" style="9" customWidth="1"/>
    <col min="11803" max="11803" width="8.5703125" style="9" customWidth="1"/>
    <col min="11804" max="11804" width="7.85546875" style="9" customWidth="1"/>
    <col min="11805" max="11805" width="8.7109375" style="9" customWidth="1"/>
    <col min="11806" max="12038" width="9.140625" style="9"/>
    <col min="12039" max="12039" width="5.42578125" style="9" customWidth="1"/>
    <col min="12040" max="12040" width="45.140625" style="9" customWidth="1"/>
    <col min="12041" max="12042" width="12" style="9" customWidth="1"/>
    <col min="12043" max="12043" width="16.140625" style="9" customWidth="1"/>
    <col min="12044" max="12044" width="7.7109375" style="9" customWidth="1"/>
    <col min="12045" max="12045" width="12" style="9" customWidth="1"/>
    <col min="12046" max="12047" width="9" style="9" customWidth="1"/>
    <col min="12048" max="12048" width="11.28515625" style="9" customWidth="1"/>
    <col min="12049" max="12050" width="12" style="9" customWidth="1"/>
    <col min="12051" max="12051" width="17.140625" style="9" customWidth="1"/>
    <col min="12052" max="12052" width="9" style="9" customWidth="1"/>
    <col min="12053" max="12053" width="12" style="9" customWidth="1"/>
    <col min="12054" max="12055" width="9" style="9" customWidth="1"/>
    <col min="12056" max="12056" width="9.85546875" style="9" customWidth="1"/>
    <col min="12057" max="12057" width="10.140625" style="9" customWidth="1"/>
    <col min="12058" max="12058" width="7.85546875" style="9" customWidth="1"/>
    <col min="12059" max="12059" width="8.5703125" style="9" customWidth="1"/>
    <col min="12060" max="12060" width="7.85546875" style="9" customWidth="1"/>
    <col min="12061" max="12061" width="8.7109375" style="9" customWidth="1"/>
    <col min="12062" max="12294" width="9.140625" style="9"/>
    <col min="12295" max="12295" width="5.42578125" style="9" customWidth="1"/>
    <col min="12296" max="12296" width="45.140625" style="9" customWidth="1"/>
    <col min="12297" max="12298" width="12" style="9" customWidth="1"/>
    <col min="12299" max="12299" width="16.140625" style="9" customWidth="1"/>
    <col min="12300" max="12300" width="7.7109375" style="9" customWidth="1"/>
    <col min="12301" max="12301" width="12" style="9" customWidth="1"/>
    <col min="12302" max="12303" width="9" style="9" customWidth="1"/>
    <col min="12304" max="12304" width="11.28515625" style="9" customWidth="1"/>
    <col min="12305" max="12306" width="12" style="9" customWidth="1"/>
    <col min="12307" max="12307" width="17.140625" style="9" customWidth="1"/>
    <col min="12308" max="12308" width="9" style="9" customWidth="1"/>
    <col min="12309" max="12309" width="12" style="9" customWidth="1"/>
    <col min="12310" max="12311" width="9" style="9" customWidth="1"/>
    <col min="12312" max="12312" width="9.85546875" style="9" customWidth="1"/>
    <col min="12313" max="12313" width="10.140625" style="9" customWidth="1"/>
    <col min="12314" max="12314" width="7.85546875" style="9" customWidth="1"/>
    <col min="12315" max="12315" width="8.5703125" style="9" customWidth="1"/>
    <col min="12316" max="12316" width="7.85546875" style="9" customWidth="1"/>
    <col min="12317" max="12317" width="8.7109375" style="9" customWidth="1"/>
    <col min="12318" max="12550" width="9.140625" style="9"/>
    <col min="12551" max="12551" width="5.42578125" style="9" customWidth="1"/>
    <col min="12552" max="12552" width="45.140625" style="9" customWidth="1"/>
    <col min="12553" max="12554" width="12" style="9" customWidth="1"/>
    <col min="12555" max="12555" width="16.140625" style="9" customWidth="1"/>
    <col min="12556" max="12556" width="7.7109375" style="9" customWidth="1"/>
    <col min="12557" max="12557" width="12" style="9" customWidth="1"/>
    <col min="12558" max="12559" width="9" style="9" customWidth="1"/>
    <col min="12560" max="12560" width="11.28515625" style="9" customWidth="1"/>
    <col min="12561" max="12562" width="12" style="9" customWidth="1"/>
    <col min="12563" max="12563" width="17.140625" style="9" customWidth="1"/>
    <col min="12564" max="12564" width="9" style="9" customWidth="1"/>
    <col min="12565" max="12565" width="12" style="9" customWidth="1"/>
    <col min="12566" max="12567" width="9" style="9" customWidth="1"/>
    <col min="12568" max="12568" width="9.85546875" style="9" customWidth="1"/>
    <col min="12569" max="12569" width="10.140625" style="9" customWidth="1"/>
    <col min="12570" max="12570" width="7.85546875" style="9" customWidth="1"/>
    <col min="12571" max="12571" width="8.5703125" style="9" customWidth="1"/>
    <col min="12572" max="12572" width="7.85546875" style="9" customWidth="1"/>
    <col min="12573" max="12573" width="8.7109375" style="9" customWidth="1"/>
    <col min="12574" max="12806" width="9.140625" style="9"/>
    <col min="12807" max="12807" width="5.42578125" style="9" customWidth="1"/>
    <col min="12808" max="12808" width="45.140625" style="9" customWidth="1"/>
    <col min="12809" max="12810" width="12" style="9" customWidth="1"/>
    <col min="12811" max="12811" width="16.140625" style="9" customWidth="1"/>
    <col min="12812" max="12812" width="7.7109375" style="9" customWidth="1"/>
    <col min="12813" max="12813" width="12" style="9" customWidth="1"/>
    <col min="12814" max="12815" width="9" style="9" customWidth="1"/>
    <col min="12816" max="12816" width="11.28515625" style="9" customWidth="1"/>
    <col min="12817" max="12818" width="12" style="9" customWidth="1"/>
    <col min="12819" max="12819" width="17.140625" style="9" customWidth="1"/>
    <col min="12820" max="12820" width="9" style="9" customWidth="1"/>
    <col min="12821" max="12821" width="12" style="9" customWidth="1"/>
    <col min="12822" max="12823" width="9" style="9" customWidth="1"/>
    <col min="12824" max="12824" width="9.85546875" style="9" customWidth="1"/>
    <col min="12825" max="12825" width="10.140625" style="9" customWidth="1"/>
    <col min="12826" max="12826" width="7.85546875" style="9" customWidth="1"/>
    <col min="12827" max="12827" width="8.5703125" style="9" customWidth="1"/>
    <col min="12828" max="12828" width="7.85546875" style="9" customWidth="1"/>
    <col min="12829" max="12829" width="8.7109375" style="9" customWidth="1"/>
    <col min="12830" max="13062" width="9.140625" style="9"/>
    <col min="13063" max="13063" width="5.42578125" style="9" customWidth="1"/>
    <col min="13064" max="13064" width="45.140625" style="9" customWidth="1"/>
    <col min="13065" max="13066" width="12" style="9" customWidth="1"/>
    <col min="13067" max="13067" width="16.140625" style="9" customWidth="1"/>
    <col min="13068" max="13068" width="7.7109375" style="9" customWidth="1"/>
    <col min="13069" max="13069" width="12" style="9" customWidth="1"/>
    <col min="13070" max="13071" width="9" style="9" customWidth="1"/>
    <col min="13072" max="13072" width="11.28515625" style="9" customWidth="1"/>
    <col min="13073" max="13074" width="12" style="9" customWidth="1"/>
    <col min="13075" max="13075" width="17.140625" style="9" customWidth="1"/>
    <col min="13076" max="13076" width="9" style="9" customWidth="1"/>
    <col min="13077" max="13077" width="12" style="9" customWidth="1"/>
    <col min="13078" max="13079" width="9" style="9" customWidth="1"/>
    <col min="13080" max="13080" width="9.85546875" style="9" customWidth="1"/>
    <col min="13081" max="13081" width="10.140625" style="9" customWidth="1"/>
    <col min="13082" max="13082" width="7.85546875" style="9" customWidth="1"/>
    <col min="13083" max="13083" width="8.5703125" style="9" customWidth="1"/>
    <col min="13084" max="13084" width="7.85546875" style="9" customWidth="1"/>
    <col min="13085" max="13085" width="8.7109375" style="9" customWidth="1"/>
    <col min="13086" max="13318" width="9.140625" style="9"/>
    <col min="13319" max="13319" width="5.42578125" style="9" customWidth="1"/>
    <col min="13320" max="13320" width="45.140625" style="9" customWidth="1"/>
    <col min="13321" max="13322" width="12" style="9" customWidth="1"/>
    <col min="13323" max="13323" width="16.140625" style="9" customWidth="1"/>
    <col min="13324" max="13324" width="7.7109375" style="9" customWidth="1"/>
    <col min="13325" max="13325" width="12" style="9" customWidth="1"/>
    <col min="13326" max="13327" width="9" style="9" customWidth="1"/>
    <col min="13328" max="13328" width="11.28515625" style="9" customWidth="1"/>
    <col min="13329" max="13330" width="12" style="9" customWidth="1"/>
    <col min="13331" max="13331" width="17.140625" style="9" customWidth="1"/>
    <col min="13332" max="13332" width="9" style="9" customWidth="1"/>
    <col min="13333" max="13333" width="12" style="9" customWidth="1"/>
    <col min="13334" max="13335" width="9" style="9" customWidth="1"/>
    <col min="13336" max="13336" width="9.85546875" style="9" customWidth="1"/>
    <col min="13337" max="13337" width="10.140625" style="9" customWidth="1"/>
    <col min="13338" max="13338" width="7.85546875" style="9" customWidth="1"/>
    <col min="13339" max="13339" width="8.5703125" style="9" customWidth="1"/>
    <col min="13340" max="13340" width="7.85546875" style="9" customWidth="1"/>
    <col min="13341" max="13341" width="8.7109375" style="9" customWidth="1"/>
    <col min="13342" max="13574" width="9.140625" style="9"/>
    <col min="13575" max="13575" width="5.42578125" style="9" customWidth="1"/>
    <col min="13576" max="13576" width="45.140625" style="9" customWidth="1"/>
    <col min="13577" max="13578" width="12" style="9" customWidth="1"/>
    <col min="13579" max="13579" width="16.140625" style="9" customWidth="1"/>
    <col min="13580" max="13580" width="7.7109375" style="9" customWidth="1"/>
    <col min="13581" max="13581" width="12" style="9" customWidth="1"/>
    <col min="13582" max="13583" width="9" style="9" customWidth="1"/>
    <col min="13584" max="13584" width="11.28515625" style="9" customWidth="1"/>
    <col min="13585" max="13586" width="12" style="9" customWidth="1"/>
    <col min="13587" max="13587" width="17.140625" style="9" customWidth="1"/>
    <col min="13588" max="13588" width="9" style="9" customWidth="1"/>
    <col min="13589" max="13589" width="12" style="9" customWidth="1"/>
    <col min="13590" max="13591" width="9" style="9" customWidth="1"/>
    <col min="13592" max="13592" width="9.85546875" style="9" customWidth="1"/>
    <col min="13593" max="13593" width="10.140625" style="9" customWidth="1"/>
    <col min="13594" max="13594" width="7.85546875" style="9" customWidth="1"/>
    <col min="13595" max="13595" width="8.5703125" style="9" customWidth="1"/>
    <col min="13596" max="13596" width="7.85546875" style="9" customWidth="1"/>
    <col min="13597" max="13597" width="8.7109375" style="9" customWidth="1"/>
    <col min="13598" max="13830" width="9.140625" style="9"/>
    <col min="13831" max="13831" width="5.42578125" style="9" customWidth="1"/>
    <col min="13832" max="13832" width="45.140625" style="9" customWidth="1"/>
    <col min="13833" max="13834" width="12" style="9" customWidth="1"/>
    <col min="13835" max="13835" width="16.140625" style="9" customWidth="1"/>
    <col min="13836" max="13836" width="7.7109375" style="9" customWidth="1"/>
    <col min="13837" max="13837" width="12" style="9" customWidth="1"/>
    <col min="13838" max="13839" width="9" style="9" customWidth="1"/>
    <col min="13840" max="13840" width="11.28515625" style="9" customWidth="1"/>
    <col min="13841" max="13842" width="12" style="9" customWidth="1"/>
    <col min="13843" max="13843" width="17.140625" style="9" customWidth="1"/>
    <col min="13844" max="13844" width="9" style="9" customWidth="1"/>
    <col min="13845" max="13845" width="12" style="9" customWidth="1"/>
    <col min="13846" max="13847" width="9" style="9" customWidth="1"/>
    <col min="13848" max="13848" width="9.85546875" style="9" customWidth="1"/>
    <col min="13849" max="13849" width="10.140625" style="9" customWidth="1"/>
    <col min="13850" max="13850" width="7.85546875" style="9" customWidth="1"/>
    <col min="13851" max="13851" width="8.5703125" style="9" customWidth="1"/>
    <col min="13852" max="13852" width="7.85546875" style="9" customWidth="1"/>
    <col min="13853" max="13853" width="8.7109375" style="9" customWidth="1"/>
    <col min="13854" max="14086" width="9.140625" style="9"/>
    <col min="14087" max="14087" width="5.42578125" style="9" customWidth="1"/>
    <col min="14088" max="14088" width="45.140625" style="9" customWidth="1"/>
    <col min="14089" max="14090" width="12" style="9" customWidth="1"/>
    <col min="14091" max="14091" width="16.140625" style="9" customWidth="1"/>
    <col min="14092" max="14092" width="7.7109375" style="9" customWidth="1"/>
    <col min="14093" max="14093" width="12" style="9" customWidth="1"/>
    <col min="14094" max="14095" width="9" style="9" customWidth="1"/>
    <col min="14096" max="14096" width="11.28515625" style="9" customWidth="1"/>
    <col min="14097" max="14098" width="12" style="9" customWidth="1"/>
    <col min="14099" max="14099" width="17.140625" style="9" customWidth="1"/>
    <col min="14100" max="14100" width="9" style="9" customWidth="1"/>
    <col min="14101" max="14101" width="12" style="9" customWidth="1"/>
    <col min="14102" max="14103" width="9" style="9" customWidth="1"/>
    <col min="14104" max="14104" width="9.85546875" style="9" customWidth="1"/>
    <col min="14105" max="14105" width="10.140625" style="9" customWidth="1"/>
    <col min="14106" max="14106" width="7.85546875" style="9" customWidth="1"/>
    <col min="14107" max="14107" width="8.5703125" style="9" customWidth="1"/>
    <col min="14108" max="14108" width="7.85546875" style="9" customWidth="1"/>
    <col min="14109" max="14109" width="8.7109375" style="9" customWidth="1"/>
    <col min="14110" max="14342" width="9.140625" style="9"/>
    <col min="14343" max="14343" width="5.42578125" style="9" customWidth="1"/>
    <col min="14344" max="14344" width="45.140625" style="9" customWidth="1"/>
    <col min="14345" max="14346" width="12" style="9" customWidth="1"/>
    <col min="14347" max="14347" width="16.140625" style="9" customWidth="1"/>
    <col min="14348" max="14348" width="7.7109375" style="9" customWidth="1"/>
    <col min="14349" max="14349" width="12" style="9" customWidth="1"/>
    <col min="14350" max="14351" width="9" style="9" customWidth="1"/>
    <col min="14352" max="14352" width="11.28515625" style="9" customWidth="1"/>
    <col min="14353" max="14354" width="12" style="9" customWidth="1"/>
    <col min="14355" max="14355" width="17.140625" style="9" customWidth="1"/>
    <col min="14356" max="14356" width="9" style="9" customWidth="1"/>
    <col min="14357" max="14357" width="12" style="9" customWidth="1"/>
    <col min="14358" max="14359" width="9" style="9" customWidth="1"/>
    <col min="14360" max="14360" width="9.85546875" style="9" customWidth="1"/>
    <col min="14361" max="14361" width="10.140625" style="9" customWidth="1"/>
    <col min="14362" max="14362" width="7.85546875" style="9" customWidth="1"/>
    <col min="14363" max="14363" width="8.5703125" style="9" customWidth="1"/>
    <col min="14364" max="14364" width="7.85546875" style="9" customWidth="1"/>
    <col min="14365" max="14365" width="8.7109375" style="9" customWidth="1"/>
    <col min="14366" max="14598" width="9.140625" style="9"/>
    <col min="14599" max="14599" width="5.42578125" style="9" customWidth="1"/>
    <col min="14600" max="14600" width="45.140625" style="9" customWidth="1"/>
    <col min="14601" max="14602" width="12" style="9" customWidth="1"/>
    <col min="14603" max="14603" width="16.140625" style="9" customWidth="1"/>
    <col min="14604" max="14604" width="7.7109375" style="9" customWidth="1"/>
    <col min="14605" max="14605" width="12" style="9" customWidth="1"/>
    <col min="14606" max="14607" width="9" style="9" customWidth="1"/>
    <col min="14608" max="14608" width="11.28515625" style="9" customWidth="1"/>
    <col min="14609" max="14610" width="12" style="9" customWidth="1"/>
    <col min="14611" max="14611" width="17.140625" style="9" customWidth="1"/>
    <col min="14612" max="14612" width="9" style="9" customWidth="1"/>
    <col min="14613" max="14613" width="12" style="9" customWidth="1"/>
    <col min="14614" max="14615" width="9" style="9" customWidth="1"/>
    <col min="14616" max="14616" width="9.85546875" style="9" customWidth="1"/>
    <col min="14617" max="14617" width="10.140625" style="9" customWidth="1"/>
    <col min="14618" max="14618" width="7.85546875" style="9" customWidth="1"/>
    <col min="14619" max="14619" width="8.5703125" style="9" customWidth="1"/>
    <col min="14620" max="14620" width="7.85546875" style="9" customWidth="1"/>
    <col min="14621" max="14621" width="8.7109375" style="9" customWidth="1"/>
    <col min="14622" max="14854" width="9.140625" style="9"/>
    <col min="14855" max="14855" width="5.42578125" style="9" customWidth="1"/>
    <col min="14856" max="14856" width="45.140625" style="9" customWidth="1"/>
    <col min="14857" max="14858" width="12" style="9" customWidth="1"/>
    <col min="14859" max="14859" width="16.140625" style="9" customWidth="1"/>
    <col min="14860" max="14860" width="7.7109375" style="9" customWidth="1"/>
    <col min="14861" max="14861" width="12" style="9" customWidth="1"/>
    <col min="14862" max="14863" width="9" style="9" customWidth="1"/>
    <col min="14864" max="14864" width="11.28515625" style="9" customWidth="1"/>
    <col min="14865" max="14866" width="12" style="9" customWidth="1"/>
    <col min="14867" max="14867" width="17.140625" style="9" customWidth="1"/>
    <col min="14868" max="14868" width="9" style="9" customWidth="1"/>
    <col min="14869" max="14869" width="12" style="9" customWidth="1"/>
    <col min="14870" max="14871" width="9" style="9" customWidth="1"/>
    <col min="14872" max="14872" width="9.85546875" style="9" customWidth="1"/>
    <col min="14873" max="14873" width="10.140625" style="9" customWidth="1"/>
    <col min="14874" max="14874" width="7.85546875" style="9" customWidth="1"/>
    <col min="14875" max="14875" width="8.5703125" style="9" customWidth="1"/>
    <col min="14876" max="14876" width="7.85546875" style="9" customWidth="1"/>
    <col min="14877" max="14877" width="8.7109375" style="9" customWidth="1"/>
    <col min="14878" max="15110" width="9.140625" style="9"/>
    <col min="15111" max="15111" width="5.42578125" style="9" customWidth="1"/>
    <col min="15112" max="15112" width="45.140625" style="9" customWidth="1"/>
    <col min="15113" max="15114" width="12" style="9" customWidth="1"/>
    <col min="15115" max="15115" width="16.140625" style="9" customWidth="1"/>
    <col min="15116" max="15116" width="7.7109375" style="9" customWidth="1"/>
    <col min="15117" max="15117" width="12" style="9" customWidth="1"/>
    <col min="15118" max="15119" width="9" style="9" customWidth="1"/>
    <col min="15120" max="15120" width="11.28515625" style="9" customWidth="1"/>
    <col min="15121" max="15122" width="12" style="9" customWidth="1"/>
    <col min="15123" max="15123" width="17.140625" style="9" customWidth="1"/>
    <col min="15124" max="15124" width="9" style="9" customWidth="1"/>
    <col min="15125" max="15125" width="12" style="9" customWidth="1"/>
    <col min="15126" max="15127" width="9" style="9" customWidth="1"/>
    <col min="15128" max="15128" width="9.85546875" style="9" customWidth="1"/>
    <col min="15129" max="15129" width="10.140625" style="9" customWidth="1"/>
    <col min="15130" max="15130" width="7.85546875" style="9" customWidth="1"/>
    <col min="15131" max="15131" width="8.5703125" style="9" customWidth="1"/>
    <col min="15132" max="15132" width="7.85546875" style="9" customWidth="1"/>
    <col min="15133" max="15133" width="8.7109375" style="9" customWidth="1"/>
    <col min="15134" max="15366" width="9.140625" style="9"/>
    <col min="15367" max="15367" width="5.42578125" style="9" customWidth="1"/>
    <col min="15368" max="15368" width="45.140625" style="9" customWidth="1"/>
    <col min="15369" max="15370" width="12" style="9" customWidth="1"/>
    <col min="15371" max="15371" width="16.140625" style="9" customWidth="1"/>
    <col min="15372" max="15372" width="7.7109375" style="9" customWidth="1"/>
    <col min="15373" max="15373" width="12" style="9" customWidth="1"/>
    <col min="15374" max="15375" width="9" style="9" customWidth="1"/>
    <col min="15376" max="15376" width="11.28515625" style="9" customWidth="1"/>
    <col min="15377" max="15378" width="12" style="9" customWidth="1"/>
    <col min="15379" max="15379" width="17.140625" style="9" customWidth="1"/>
    <col min="15380" max="15380" width="9" style="9" customWidth="1"/>
    <col min="15381" max="15381" width="12" style="9" customWidth="1"/>
    <col min="15382" max="15383" width="9" style="9" customWidth="1"/>
    <col min="15384" max="15384" width="9.85546875" style="9" customWidth="1"/>
    <col min="15385" max="15385" width="10.140625" style="9" customWidth="1"/>
    <col min="15386" max="15386" width="7.85546875" style="9" customWidth="1"/>
    <col min="15387" max="15387" width="8.5703125" style="9" customWidth="1"/>
    <col min="15388" max="15388" width="7.85546875" style="9" customWidth="1"/>
    <col min="15389" max="15389" width="8.7109375" style="9" customWidth="1"/>
    <col min="15390" max="15622" width="9.140625" style="9"/>
    <col min="15623" max="15623" width="5.42578125" style="9" customWidth="1"/>
    <col min="15624" max="15624" width="45.140625" style="9" customWidth="1"/>
    <col min="15625" max="15626" width="12" style="9" customWidth="1"/>
    <col min="15627" max="15627" width="16.140625" style="9" customWidth="1"/>
    <col min="15628" max="15628" width="7.7109375" style="9" customWidth="1"/>
    <col min="15629" max="15629" width="12" style="9" customWidth="1"/>
    <col min="15630" max="15631" width="9" style="9" customWidth="1"/>
    <col min="15632" max="15632" width="11.28515625" style="9" customWidth="1"/>
    <col min="15633" max="15634" width="12" style="9" customWidth="1"/>
    <col min="15635" max="15635" width="17.140625" style="9" customWidth="1"/>
    <col min="15636" max="15636" width="9" style="9" customWidth="1"/>
    <col min="15637" max="15637" width="12" style="9" customWidth="1"/>
    <col min="15638" max="15639" width="9" style="9" customWidth="1"/>
    <col min="15640" max="15640" width="9.85546875" style="9" customWidth="1"/>
    <col min="15641" max="15641" width="10.140625" style="9" customWidth="1"/>
    <col min="15642" max="15642" width="7.85546875" style="9" customWidth="1"/>
    <col min="15643" max="15643" width="8.5703125" style="9" customWidth="1"/>
    <col min="15644" max="15644" width="7.85546875" style="9" customWidth="1"/>
    <col min="15645" max="15645" width="8.7109375" style="9" customWidth="1"/>
    <col min="15646" max="15878" width="9.140625" style="9"/>
    <col min="15879" max="15879" width="5.42578125" style="9" customWidth="1"/>
    <col min="15880" max="15880" width="45.140625" style="9" customWidth="1"/>
    <col min="15881" max="15882" width="12" style="9" customWidth="1"/>
    <col min="15883" max="15883" width="16.140625" style="9" customWidth="1"/>
    <col min="15884" max="15884" width="7.7109375" style="9" customWidth="1"/>
    <col min="15885" max="15885" width="12" style="9" customWidth="1"/>
    <col min="15886" max="15887" width="9" style="9" customWidth="1"/>
    <col min="15888" max="15888" width="11.28515625" style="9" customWidth="1"/>
    <col min="15889" max="15890" width="12" style="9" customWidth="1"/>
    <col min="15891" max="15891" width="17.140625" style="9" customWidth="1"/>
    <col min="15892" max="15892" width="9" style="9" customWidth="1"/>
    <col min="15893" max="15893" width="12" style="9" customWidth="1"/>
    <col min="15894" max="15895" width="9" style="9" customWidth="1"/>
    <col min="15896" max="15896" width="9.85546875" style="9" customWidth="1"/>
    <col min="15897" max="15897" width="10.140625" style="9" customWidth="1"/>
    <col min="15898" max="15898" width="7.85546875" style="9" customWidth="1"/>
    <col min="15899" max="15899" width="8.5703125" style="9" customWidth="1"/>
    <col min="15900" max="15900" width="7.85546875" style="9" customWidth="1"/>
    <col min="15901" max="15901" width="8.7109375" style="9" customWidth="1"/>
    <col min="15902" max="16134" width="9.140625" style="9"/>
    <col min="16135" max="16135" width="5.42578125" style="9" customWidth="1"/>
    <col min="16136" max="16136" width="45.140625" style="9" customWidth="1"/>
    <col min="16137" max="16138" width="12" style="9" customWidth="1"/>
    <col min="16139" max="16139" width="16.140625" style="9" customWidth="1"/>
    <col min="16140" max="16140" width="7.7109375" style="9" customWidth="1"/>
    <col min="16141" max="16141" width="12" style="9" customWidth="1"/>
    <col min="16142" max="16143" width="9" style="9" customWidth="1"/>
    <col min="16144" max="16144" width="11.28515625" style="9" customWidth="1"/>
    <col min="16145" max="16146" width="12" style="9" customWidth="1"/>
    <col min="16147" max="16147" width="17.140625" style="9" customWidth="1"/>
    <col min="16148" max="16148" width="9" style="9" customWidth="1"/>
    <col min="16149" max="16149" width="12" style="9" customWidth="1"/>
    <col min="16150" max="16151" width="9" style="9" customWidth="1"/>
    <col min="16152" max="16152" width="9.85546875" style="9" customWidth="1"/>
    <col min="16153" max="16153" width="10.140625" style="9" customWidth="1"/>
    <col min="16154" max="16154" width="7.85546875" style="9" customWidth="1"/>
    <col min="16155" max="16155" width="8.5703125" style="9" customWidth="1"/>
    <col min="16156" max="16156" width="7.85546875" style="9" customWidth="1"/>
    <col min="16157" max="16157" width="8.7109375" style="9" customWidth="1"/>
    <col min="16158" max="16384" width="9.140625" style="9"/>
  </cols>
  <sheetData>
    <row r="1" spans="1:35" ht="16.5" x14ac:dyDescent="0.25">
      <c r="A1" s="48"/>
      <c r="B1" s="351" t="s">
        <v>514</v>
      </c>
      <c r="C1" s="351"/>
      <c r="D1" s="27"/>
      <c r="E1" s="6"/>
      <c r="F1" s="6"/>
      <c r="G1" s="6"/>
      <c r="H1" s="6"/>
      <c r="O1" s="27"/>
      <c r="P1" s="6"/>
      <c r="Q1" s="6"/>
      <c r="R1" s="6"/>
      <c r="AB1" s="15"/>
      <c r="AF1" s="9"/>
    </row>
    <row r="2" spans="1:35" x14ac:dyDescent="0.25">
      <c r="A2" s="29"/>
      <c r="B2" s="6"/>
      <c r="C2" s="6"/>
      <c r="D2" s="27"/>
      <c r="G2" s="6"/>
      <c r="O2" s="27"/>
      <c r="AB2" s="6"/>
      <c r="AF2" s="9"/>
    </row>
    <row r="3" spans="1:35" ht="21.75" customHeight="1" x14ac:dyDescent="0.25">
      <c r="A3" s="318" t="s">
        <v>421</v>
      </c>
      <c r="B3" s="318"/>
      <c r="C3" s="318"/>
      <c r="D3" s="318"/>
      <c r="E3" s="318"/>
      <c r="F3" s="318"/>
      <c r="G3" s="318"/>
      <c r="H3" s="318"/>
      <c r="I3" s="318"/>
      <c r="J3" s="318"/>
      <c r="K3" s="318"/>
      <c r="L3" s="318"/>
      <c r="M3" s="318"/>
      <c r="N3" s="318"/>
      <c r="O3" s="318"/>
      <c r="P3" s="318"/>
      <c r="Q3" s="318"/>
      <c r="R3" s="318"/>
      <c r="S3" s="318"/>
      <c r="T3" s="318"/>
      <c r="U3" s="318"/>
      <c r="V3" s="318"/>
      <c r="W3" s="318"/>
      <c r="X3" s="318"/>
      <c r="Y3" s="318"/>
      <c r="Z3" s="318"/>
      <c r="AA3" s="318"/>
      <c r="AB3" s="318"/>
      <c r="AC3" s="318"/>
      <c r="AD3" s="318"/>
      <c r="AE3" s="318"/>
      <c r="AF3" s="49"/>
    </row>
    <row r="4" spans="1:35" ht="21.75" customHeight="1" x14ac:dyDescent="0.25">
      <c r="A4" s="333" t="s">
        <v>489</v>
      </c>
      <c r="B4" s="333"/>
      <c r="C4" s="333"/>
      <c r="D4" s="333"/>
      <c r="E4" s="333"/>
      <c r="F4" s="333"/>
      <c r="G4" s="333"/>
      <c r="H4" s="333"/>
      <c r="I4" s="333"/>
      <c r="J4" s="333"/>
      <c r="K4" s="333"/>
      <c r="L4" s="333"/>
      <c r="M4" s="333"/>
      <c r="N4" s="333"/>
      <c r="O4" s="333"/>
      <c r="P4" s="333"/>
      <c r="Q4" s="333"/>
      <c r="R4" s="333"/>
      <c r="S4" s="333"/>
      <c r="T4" s="333"/>
      <c r="U4" s="333"/>
      <c r="V4" s="333"/>
      <c r="W4" s="333"/>
      <c r="X4" s="333"/>
      <c r="Y4" s="333"/>
      <c r="Z4" s="333"/>
      <c r="AA4" s="333"/>
      <c r="AB4" s="333"/>
      <c r="AC4" s="333"/>
      <c r="AD4" s="333"/>
      <c r="AE4" s="333"/>
      <c r="AF4" s="49"/>
    </row>
    <row r="5" spans="1:35" ht="21.75" hidden="1" customHeight="1" x14ac:dyDescent="0.25">
      <c r="A5" s="113"/>
      <c r="B5" s="51"/>
      <c r="C5" s="202"/>
      <c r="D5" s="51"/>
      <c r="E5" s="51"/>
      <c r="F5" s="51"/>
      <c r="G5" s="51"/>
      <c r="H5" s="202"/>
      <c r="I5" s="202"/>
      <c r="J5" s="51"/>
      <c r="K5" s="51"/>
      <c r="L5" s="51"/>
      <c r="M5" s="51"/>
      <c r="N5" s="51"/>
      <c r="O5" s="51"/>
      <c r="P5" s="51"/>
      <c r="Q5" s="51"/>
      <c r="R5" s="51"/>
      <c r="S5" s="51"/>
      <c r="T5" s="51"/>
      <c r="U5" s="51"/>
      <c r="V5" s="51"/>
      <c r="W5" s="51"/>
      <c r="X5" s="51"/>
      <c r="Y5" s="51"/>
      <c r="Z5" s="51"/>
      <c r="AA5" s="51"/>
      <c r="AB5" s="51"/>
      <c r="AC5" s="51"/>
      <c r="AD5" s="51"/>
      <c r="AE5" s="51"/>
      <c r="AF5" s="49"/>
    </row>
    <row r="6" spans="1:35" hidden="1" x14ac:dyDescent="0.25">
      <c r="B6" s="203"/>
      <c r="C6" s="204"/>
      <c r="D6" s="6"/>
      <c r="E6" s="6"/>
      <c r="F6" s="6"/>
      <c r="G6" s="6"/>
      <c r="H6" s="6"/>
      <c r="I6" s="6"/>
      <c r="J6" s="6"/>
      <c r="K6" s="6"/>
      <c r="L6" s="6"/>
      <c r="M6" s="6"/>
      <c r="N6" s="205">
        <f>N11+'[2]bieu 52_'!D9</f>
        <v>8083350.9689600011</v>
      </c>
      <c r="O6" s="6"/>
      <c r="P6" s="6"/>
      <c r="Q6" s="6"/>
      <c r="R6" s="6"/>
      <c r="S6" s="6"/>
      <c r="T6" s="6"/>
      <c r="U6" s="6"/>
      <c r="W6" s="27"/>
      <c r="X6" s="6"/>
      <c r="Y6" s="6"/>
      <c r="Z6" s="6"/>
      <c r="AA6" s="6"/>
      <c r="AB6" s="334"/>
      <c r="AC6" s="334"/>
      <c r="AD6" s="352" t="s">
        <v>490</v>
      </c>
      <c r="AE6" s="352"/>
      <c r="AF6" s="9"/>
    </row>
    <row r="7" spans="1:35" s="52" customFormat="1" ht="15.75" customHeight="1" x14ac:dyDescent="0.2">
      <c r="A7" s="324" t="s">
        <v>2</v>
      </c>
      <c r="B7" s="324" t="s">
        <v>97</v>
      </c>
      <c r="C7" s="325" t="s">
        <v>35</v>
      </c>
      <c r="D7" s="326"/>
      <c r="E7" s="326"/>
      <c r="F7" s="326"/>
      <c r="G7" s="326"/>
      <c r="H7" s="326"/>
      <c r="I7" s="326"/>
      <c r="J7" s="326"/>
      <c r="K7" s="326"/>
      <c r="L7" s="326"/>
      <c r="M7" s="327"/>
      <c r="N7" s="325" t="s">
        <v>5</v>
      </c>
      <c r="O7" s="326"/>
      <c r="P7" s="326"/>
      <c r="Q7" s="326"/>
      <c r="R7" s="326"/>
      <c r="S7" s="326"/>
      <c r="T7" s="326"/>
      <c r="U7" s="326"/>
      <c r="V7" s="326"/>
      <c r="W7" s="326"/>
      <c r="X7" s="326"/>
      <c r="Y7" s="112"/>
      <c r="Z7" s="112"/>
      <c r="AA7" s="112"/>
      <c r="AB7" s="324" t="s">
        <v>6</v>
      </c>
      <c r="AC7" s="324"/>
      <c r="AD7" s="324"/>
      <c r="AE7" s="324"/>
    </row>
    <row r="8" spans="1:35" s="52" customFormat="1" ht="25.5" customHeight="1" x14ac:dyDescent="0.2">
      <c r="A8" s="324"/>
      <c r="B8" s="324"/>
      <c r="C8" s="324" t="s">
        <v>253</v>
      </c>
      <c r="D8" s="324" t="s">
        <v>99</v>
      </c>
      <c r="E8" s="324" t="s">
        <v>100</v>
      </c>
      <c r="F8" s="324" t="s">
        <v>227</v>
      </c>
      <c r="G8" s="325" t="s">
        <v>228</v>
      </c>
      <c r="H8" s="327"/>
      <c r="I8" s="324" t="s">
        <v>254</v>
      </c>
      <c r="J8" s="328" t="s">
        <v>515</v>
      </c>
      <c r="K8" s="324" t="s">
        <v>101</v>
      </c>
      <c r="L8" s="324"/>
      <c r="M8" s="324"/>
      <c r="N8" s="324" t="s">
        <v>98</v>
      </c>
      <c r="O8" s="324" t="s">
        <v>99</v>
      </c>
      <c r="P8" s="324" t="s">
        <v>100</v>
      </c>
      <c r="Q8" s="329" t="s">
        <v>124</v>
      </c>
      <c r="R8" s="330"/>
      <c r="S8" s="324" t="s">
        <v>254</v>
      </c>
      <c r="T8" s="324" t="s">
        <v>515</v>
      </c>
      <c r="U8" s="324" t="s">
        <v>101</v>
      </c>
      <c r="V8" s="324"/>
      <c r="W8" s="324"/>
      <c r="X8" s="324" t="s">
        <v>102</v>
      </c>
      <c r="Y8" s="325" t="s">
        <v>124</v>
      </c>
      <c r="Z8" s="327"/>
      <c r="AA8" s="324" t="s">
        <v>255</v>
      </c>
      <c r="AB8" s="324" t="s">
        <v>98</v>
      </c>
      <c r="AC8" s="332" t="s">
        <v>99</v>
      </c>
      <c r="AD8" s="332" t="s">
        <v>100</v>
      </c>
      <c r="AE8" s="332" t="s">
        <v>101</v>
      </c>
    </row>
    <row r="9" spans="1:35" s="56" customFormat="1" ht="160.5" customHeight="1" x14ac:dyDescent="0.2">
      <c r="A9" s="324"/>
      <c r="B9" s="324"/>
      <c r="C9" s="324"/>
      <c r="D9" s="324"/>
      <c r="E9" s="324"/>
      <c r="F9" s="324"/>
      <c r="G9" s="53" t="s">
        <v>128</v>
      </c>
      <c r="H9" s="53" t="s">
        <v>127</v>
      </c>
      <c r="I9" s="324"/>
      <c r="J9" s="328"/>
      <c r="K9" s="54" t="s">
        <v>98</v>
      </c>
      <c r="L9" s="54" t="s">
        <v>103</v>
      </c>
      <c r="M9" s="54" t="s">
        <v>104</v>
      </c>
      <c r="N9" s="324"/>
      <c r="O9" s="324"/>
      <c r="P9" s="324"/>
      <c r="Q9" s="55" t="s">
        <v>158</v>
      </c>
      <c r="R9" s="55" t="s">
        <v>159</v>
      </c>
      <c r="S9" s="324"/>
      <c r="T9" s="324"/>
      <c r="U9" s="54" t="s">
        <v>98</v>
      </c>
      <c r="V9" s="54" t="s">
        <v>103</v>
      </c>
      <c r="W9" s="54" t="s">
        <v>104</v>
      </c>
      <c r="X9" s="324"/>
      <c r="Y9" s="53" t="s">
        <v>161</v>
      </c>
      <c r="Z9" s="53" t="s">
        <v>160</v>
      </c>
      <c r="AA9" s="324"/>
      <c r="AB9" s="324"/>
      <c r="AC9" s="332"/>
      <c r="AD9" s="332"/>
      <c r="AE9" s="332"/>
    </row>
    <row r="10" spans="1:35" s="59" customFormat="1" ht="18.75" customHeight="1" x14ac:dyDescent="0.2">
      <c r="A10" s="57" t="s">
        <v>7</v>
      </c>
      <c r="B10" s="57" t="s">
        <v>8</v>
      </c>
      <c r="C10" s="57" t="s">
        <v>152</v>
      </c>
      <c r="D10" s="57">
        <v>2</v>
      </c>
      <c r="E10" s="57">
        <v>3</v>
      </c>
      <c r="F10" s="57"/>
      <c r="G10" s="57"/>
      <c r="H10" s="57"/>
      <c r="I10" s="57">
        <v>4</v>
      </c>
      <c r="J10" s="57">
        <v>5</v>
      </c>
      <c r="K10" s="57" t="s">
        <v>141</v>
      </c>
      <c r="L10" s="57">
        <v>7</v>
      </c>
      <c r="M10" s="57">
        <v>8</v>
      </c>
      <c r="N10" s="58" t="s">
        <v>516</v>
      </c>
      <c r="O10" s="57">
        <v>10</v>
      </c>
      <c r="P10" s="57">
        <v>11</v>
      </c>
      <c r="Q10" s="57"/>
      <c r="R10" s="57"/>
      <c r="S10" s="57">
        <v>12</v>
      </c>
      <c r="T10" s="57">
        <v>13</v>
      </c>
      <c r="U10" s="57" t="s">
        <v>153</v>
      </c>
      <c r="V10" s="57">
        <v>15</v>
      </c>
      <c r="W10" s="57">
        <v>16</v>
      </c>
      <c r="X10" s="57" t="s">
        <v>517</v>
      </c>
      <c r="Y10" s="57">
        <v>18</v>
      </c>
      <c r="Z10" s="57">
        <v>19</v>
      </c>
      <c r="AA10" s="57">
        <v>20</v>
      </c>
      <c r="AB10" s="57" t="s">
        <v>518</v>
      </c>
      <c r="AC10" s="57" t="s">
        <v>519</v>
      </c>
      <c r="AD10" s="57" t="s">
        <v>520</v>
      </c>
      <c r="AE10" s="57" t="s">
        <v>521</v>
      </c>
      <c r="AG10" s="206">
        <f>O11-'[2]bieu 53_'!M8</f>
        <v>1986836.6887870003</v>
      </c>
    </row>
    <row r="11" spans="1:35" s="36" customFormat="1" ht="18.75" customHeight="1" x14ac:dyDescent="0.25">
      <c r="A11" s="60"/>
      <c r="B11" s="60" t="s">
        <v>98</v>
      </c>
      <c r="C11" s="61">
        <f>D11+E11+I11+J11+K11</f>
        <v>4869530.6639999999</v>
      </c>
      <c r="D11" s="60">
        <f>D12+D111+D112+D113+D116+D117+D103+D114</f>
        <v>2621912.6639999999</v>
      </c>
      <c r="E11" s="60">
        <f t="shared" ref="E11:M11" si="0">E12+E111+E112+E113+E116+E117+E103+E114</f>
        <v>1779289</v>
      </c>
      <c r="F11" s="60">
        <f t="shared" si="0"/>
        <v>1636507</v>
      </c>
      <c r="G11" s="60">
        <f t="shared" si="0"/>
        <v>18680</v>
      </c>
      <c r="H11" s="60">
        <f t="shared" si="0"/>
        <v>124102</v>
      </c>
      <c r="I11" s="60">
        <f t="shared" si="0"/>
        <v>2000</v>
      </c>
      <c r="J11" s="60">
        <f t="shared" si="0"/>
        <v>466329</v>
      </c>
      <c r="K11" s="60">
        <f t="shared" si="0"/>
        <v>0</v>
      </c>
      <c r="L11" s="60">
        <f t="shared" si="0"/>
        <v>0</v>
      </c>
      <c r="M11" s="60">
        <f t="shared" si="0"/>
        <v>0</v>
      </c>
      <c r="N11" s="60">
        <f t="shared" ref="N11:S11" si="1">N12+N111+N112+N113+N116+N117+N118+N115</f>
        <v>6076279.9689600011</v>
      </c>
      <c r="O11" s="60">
        <f t="shared" si="1"/>
        <v>1986836.6887870003</v>
      </c>
      <c r="P11" s="60">
        <f t="shared" si="1"/>
        <v>1838051.2794800003</v>
      </c>
      <c r="Q11" s="60">
        <f t="shared" si="1"/>
        <v>1496560.9167680005</v>
      </c>
      <c r="R11" s="60">
        <f t="shared" si="1"/>
        <v>341490.36271199997</v>
      </c>
      <c r="S11" s="60">
        <f t="shared" si="1"/>
        <v>9500.851999999999</v>
      </c>
      <c r="T11" s="60">
        <f>T12+T111+T112+T113+T116+T117+T118+T115</f>
        <v>546390.10800000001</v>
      </c>
      <c r="U11" s="60">
        <f t="shared" ref="U11:AA11" si="2">U12+U111+U112+U113+U116+U117+U118+U115</f>
        <v>37058.607468999995</v>
      </c>
      <c r="V11" s="60">
        <f t="shared" si="2"/>
        <v>36570.607468999995</v>
      </c>
      <c r="W11" s="60">
        <f t="shared" si="2"/>
        <v>488</v>
      </c>
      <c r="X11" s="60">
        <f t="shared" si="2"/>
        <v>1326874.6171550001</v>
      </c>
      <c r="Y11" s="60">
        <f t="shared" si="2"/>
        <v>0</v>
      </c>
      <c r="Z11" s="60">
        <f t="shared" si="2"/>
        <v>0</v>
      </c>
      <c r="AA11" s="60">
        <f t="shared" si="2"/>
        <v>331567.81606899999</v>
      </c>
      <c r="AB11" s="62">
        <f t="shared" ref="AB11:AC26" si="3">N11/C11%</f>
        <v>124.78163478631299</v>
      </c>
      <c r="AC11" s="62">
        <f>O11/D11%</f>
        <v>75.778141509712782</v>
      </c>
      <c r="AD11" s="62">
        <f t="shared" ref="AD11:AD72" si="4">P11/E11%</f>
        <v>103.30257082913458</v>
      </c>
      <c r="AE11" s="62"/>
    </row>
    <row r="12" spans="1:35" s="36" customFormat="1" ht="24.75" customHeight="1" x14ac:dyDescent="0.25">
      <c r="A12" s="61" t="s">
        <v>39</v>
      </c>
      <c r="B12" s="63" t="s">
        <v>256</v>
      </c>
      <c r="C12" s="61">
        <f>D12+E12+I12+J12+K12</f>
        <v>4327873.6639999999</v>
      </c>
      <c r="D12" s="61">
        <f t="shared" ref="D12:Z12" si="5">D13+D91</f>
        <v>2621912.6639999999</v>
      </c>
      <c r="E12" s="61">
        <f t="shared" si="5"/>
        <v>1705961</v>
      </c>
      <c r="F12" s="61">
        <f t="shared" si="5"/>
        <v>1563179</v>
      </c>
      <c r="G12" s="61">
        <f t="shared" si="5"/>
        <v>18680</v>
      </c>
      <c r="H12" s="61">
        <f t="shared" si="5"/>
        <v>124102</v>
      </c>
      <c r="I12" s="61">
        <f t="shared" si="5"/>
        <v>0</v>
      </c>
      <c r="J12" s="61">
        <f t="shared" si="5"/>
        <v>0</v>
      </c>
      <c r="K12" s="61">
        <f t="shared" si="5"/>
        <v>0</v>
      </c>
      <c r="L12" s="61">
        <f t="shared" si="5"/>
        <v>0</v>
      </c>
      <c r="M12" s="61">
        <f t="shared" si="5"/>
        <v>0</v>
      </c>
      <c r="N12" s="61">
        <f t="shared" si="5"/>
        <v>3861946.5757360002</v>
      </c>
      <c r="O12" s="61">
        <f t="shared" si="5"/>
        <v>1986836.6887870003</v>
      </c>
      <c r="P12" s="61">
        <f t="shared" si="5"/>
        <v>1838051.2794800003</v>
      </c>
      <c r="Q12" s="61">
        <f t="shared" si="5"/>
        <v>1496560.9167680005</v>
      </c>
      <c r="R12" s="61">
        <f t="shared" si="5"/>
        <v>341490.36271199997</v>
      </c>
      <c r="S12" s="61">
        <f t="shared" si="5"/>
        <v>0</v>
      </c>
      <c r="T12" s="61">
        <f t="shared" si="5"/>
        <v>0</v>
      </c>
      <c r="U12" s="61">
        <f t="shared" si="5"/>
        <v>37058.607468999995</v>
      </c>
      <c r="V12" s="61">
        <f t="shared" si="5"/>
        <v>36570.607468999995</v>
      </c>
      <c r="W12" s="61">
        <f t="shared" si="5"/>
        <v>488</v>
      </c>
      <c r="X12" s="61">
        <f t="shared" si="5"/>
        <v>0</v>
      </c>
      <c r="Y12" s="61">
        <f t="shared" si="5"/>
        <v>0</v>
      </c>
      <c r="Z12" s="61">
        <f t="shared" si="5"/>
        <v>0</v>
      </c>
      <c r="AA12" s="61"/>
      <c r="AB12" s="62">
        <f t="shared" si="3"/>
        <v>89.234272429445866</v>
      </c>
      <c r="AC12" s="62">
        <f t="shared" si="3"/>
        <v>75.778141509712782</v>
      </c>
      <c r="AD12" s="62">
        <f t="shared" si="4"/>
        <v>107.74286630702579</v>
      </c>
      <c r="AE12" s="62"/>
      <c r="AG12" s="44"/>
    </row>
    <row r="13" spans="1:35" s="36" customFormat="1" ht="33.75" customHeight="1" x14ac:dyDescent="0.25">
      <c r="A13" s="61" t="s">
        <v>257</v>
      </c>
      <c r="B13" s="63" t="s">
        <v>258</v>
      </c>
      <c r="C13" s="61">
        <f>D13+E13+I13+J13+K13</f>
        <v>3942688.429</v>
      </c>
      <c r="D13" s="61">
        <f t="shared" ref="D13:Z13" si="6">SUM(D14:D90)</f>
        <v>2236727.429</v>
      </c>
      <c r="E13" s="61">
        <f t="shared" si="6"/>
        <v>1705961</v>
      </c>
      <c r="F13" s="61">
        <f t="shared" si="6"/>
        <v>1563179</v>
      </c>
      <c r="G13" s="61">
        <f t="shared" si="6"/>
        <v>18680</v>
      </c>
      <c r="H13" s="61">
        <f t="shared" si="6"/>
        <v>124102</v>
      </c>
      <c r="I13" s="61">
        <f t="shared" si="6"/>
        <v>0</v>
      </c>
      <c r="J13" s="61">
        <f t="shared" si="6"/>
        <v>0</v>
      </c>
      <c r="K13" s="61">
        <f t="shared" si="6"/>
        <v>0</v>
      </c>
      <c r="L13" s="61">
        <f t="shared" si="6"/>
        <v>0</v>
      </c>
      <c r="M13" s="61">
        <f t="shared" si="6"/>
        <v>0</v>
      </c>
      <c r="N13" s="61">
        <f t="shared" si="6"/>
        <v>3481286.4938780004</v>
      </c>
      <c r="O13" s="61">
        <f t="shared" si="6"/>
        <v>1642747.2143980002</v>
      </c>
      <c r="P13" s="61">
        <f t="shared" si="6"/>
        <v>1838051.2794800003</v>
      </c>
      <c r="Q13" s="61">
        <f>SUM(Q14:Q90)</f>
        <v>1496560.9167680005</v>
      </c>
      <c r="R13" s="61">
        <f>SUM(R14:R90)</f>
        <v>341490.36271199997</v>
      </c>
      <c r="S13" s="61">
        <f t="shared" si="6"/>
        <v>0</v>
      </c>
      <c r="T13" s="61">
        <f t="shared" si="6"/>
        <v>0</v>
      </c>
      <c r="U13" s="61">
        <f t="shared" si="6"/>
        <v>488</v>
      </c>
      <c r="V13" s="61">
        <f t="shared" si="6"/>
        <v>0</v>
      </c>
      <c r="W13" s="61">
        <f t="shared" si="6"/>
        <v>488</v>
      </c>
      <c r="X13" s="61">
        <f t="shared" si="6"/>
        <v>0</v>
      </c>
      <c r="Y13" s="61">
        <f t="shared" si="6"/>
        <v>0</v>
      </c>
      <c r="Z13" s="61">
        <f t="shared" si="6"/>
        <v>0</v>
      </c>
      <c r="AA13" s="61"/>
      <c r="AB13" s="62">
        <f t="shared" si="3"/>
        <v>88.297276251194234</v>
      </c>
      <c r="AC13" s="62">
        <f t="shared" si="3"/>
        <v>73.444228970377594</v>
      </c>
      <c r="AD13" s="62">
        <f t="shared" si="4"/>
        <v>107.74286630702579</v>
      </c>
      <c r="AE13" s="62"/>
      <c r="AG13" s="207"/>
      <c r="AH13" s="28"/>
      <c r="AI13" s="9"/>
    </row>
    <row r="14" spans="1:35" s="16" customFormat="1" ht="39.75" customHeight="1" x14ac:dyDescent="0.25">
      <c r="A14" s="65" t="s">
        <v>259</v>
      </c>
      <c r="B14" s="66" t="s">
        <v>260</v>
      </c>
      <c r="C14" s="67">
        <f>D14+E14+I14+J14+K14</f>
        <v>166290</v>
      </c>
      <c r="D14" s="67">
        <v>250</v>
      </c>
      <c r="E14" s="67">
        <f>F14+G14+H14</f>
        <v>166040</v>
      </c>
      <c r="F14" s="67">
        <v>165840</v>
      </c>
      <c r="G14" s="67">
        <v>200</v>
      </c>
      <c r="H14" s="67"/>
      <c r="I14" s="67"/>
      <c r="J14" s="67"/>
      <c r="K14" s="67">
        <f t="shared" ref="K14:K77" si="7">L14+M14</f>
        <v>0</v>
      </c>
      <c r="L14" s="67"/>
      <c r="M14" s="67"/>
      <c r="N14" s="67">
        <f>O14+P14+S14+T14+U14</f>
        <v>146126.40807100001</v>
      </c>
      <c r="O14" s="67">
        <v>1193.7137930000001</v>
      </c>
      <c r="P14" s="68">
        <f>Q14+R14</f>
        <v>144444.69427800001</v>
      </c>
      <c r="Q14" s="67">
        <f>4887.369031+843.243745+5691.7265+6778.87+3363.60898+703.733361+3235.103974+786.635+21176.980855+3285.118+2083.747343+12795.319481+1051.02495+629+17698.562889+10964.759+3912.787817+10759.320824+1729.705+1557.2+3134.343208+3726.59409+10561.64199+13589.29124-12.993-488</f>
        <v>144444.69427800001</v>
      </c>
      <c r="R14" s="68"/>
      <c r="S14" s="67"/>
      <c r="T14" s="67"/>
      <c r="U14" s="67">
        <f t="shared" ref="U14:U35" si="8">V14+W14</f>
        <v>488</v>
      </c>
      <c r="V14" s="67"/>
      <c r="W14" s="67">
        <v>488</v>
      </c>
      <c r="X14" s="67"/>
      <c r="Y14" s="67"/>
      <c r="Z14" s="67"/>
      <c r="AA14" s="67"/>
      <c r="AB14" s="69">
        <f t="shared" si="3"/>
        <v>87.874441079439535</v>
      </c>
      <c r="AC14" s="69">
        <f>O14/D14%</f>
        <v>477.48551720000006</v>
      </c>
      <c r="AD14" s="69">
        <f t="shared" si="4"/>
        <v>86.99391368224525</v>
      </c>
      <c r="AE14" s="69"/>
      <c r="AG14" s="9"/>
      <c r="AH14" s="51"/>
      <c r="AI14" s="9"/>
    </row>
    <row r="15" spans="1:35" s="16" customFormat="1" ht="24.75" customHeight="1" x14ac:dyDescent="0.25">
      <c r="A15" s="70" t="s">
        <v>261</v>
      </c>
      <c r="B15" s="71" t="s">
        <v>262</v>
      </c>
      <c r="C15" s="67">
        <f t="shared" ref="C15:C78" si="9">D15+E15+I15+J15+K15</f>
        <v>77715.236999999994</v>
      </c>
      <c r="D15" s="67">
        <v>816.23699999999997</v>
      </c>
      <c r="E15" s="67">
        <f t="shared" ref="E15:E78" si="10">F15+G15+H15</f>
        <v>76899</v>
      </c>
      <c r="F15" s="67">
        <v>32226</v>
      </c>
      <c r="G15" s="67"/>
      <c r="H15" s="67">
        <f>479+44194</f>
        <v>44673</v>
      </c>
      <c r="I15" s="67"/>
      <c r="J15" s="67"/>
      <c r="K15" s="67">
        <f t="shared" si="7"/>
        <v>0</v>
      </c>
      <c r="L15" s="67"/>
      <c r="M15" s="67"/>
      <c r="N15" s="67">
        <f>O15+P15+S15+T15+U15</f>
        <v>90576.17381600001</v>
      </c>
      <c r="O15" s="67">
        <v>751.81200000000001</v>
      </c>
      <c r="P15" s="68">
        <f t="shared" ref="P15:P78" si="11">Q15+R15</f>
        <v>89824.361816000004</v>
      </c>
      <c r="Q15" s="67">
        <f>259+4843.880669+81611.327559+3110.153588</f>
        <v>89824.361816000004</v>
      </c>
      <c r="R15" s="67"/>
      <c r="S15" s="67"/>
      <c r="T15" s="67"/>
      <c r="U15" s="67">
        <f t="shared" si="8"/>
        <v>0</v>
      </c>
      <c r="V15" s="67"/>
      <c r="W15" s="67"/>
      <c r="X15" s="67"/>
      <c r="Y15" s="67"/>
      <c r="Z15" s="67"/>
      <c r="AA15" s="67"/>
      <c r="AB15" s="69">
        <f t="shared" si="3"/>
        <v>116.54879700875135</v>
      </c>
      <c r="AC15" s="69">
        <f t="shared" si="3"/>
        <v>92.107071843104407</v>
      </c>
      <c r="AD15" s="69">
        <f t="shared" si="4"/>
        <v>116.80823133720855</v>
      </c>
      <c r="AE15" s="69"/>
      <c r="AG15" s="9"/>
      <c r="AH15" s="6"/>
      <c r="AI15" s="9"/>
    </row>
    <row r="16" spans="1:35" s="16" customFormat="1" ht="24.75" customHeight="1" x14ac:dyDescent="0.25">
      <c r="A16" s="65" t="s">
        <v>263</v>
      </c>
      <c r="B16" s="72" t="s">
        <v>264</v>
      </c>
      <c r="C16" s="67">
        <f t="shared" si="9"/>
        <v>5803</v>
      </c>
      <c r="D16" s="67"/>
      <c r="E16" s="67">
        <f t="shared" si="10"/>
        <v>5803</v>
      </c>
      <c r="F16" s="67">
        <v>5803</v>
      </c>
      <c r="G16" s="67"/>
      <c r="H16" s="67"/>
      <c r="I16" s="67"/>
      <c r="J16" s="67"/>
      <c r="K16" s="67">
        <f t="shared" si="7"/>
        <v>0</v>
      </c>
      <c r="L16" s="67"/>
      <c r="M16" s="67"/>
      <c r="N16" s="67">
        <f t="shared" ref="N16:N79" si="12">O16+P16+S16+T16+U16</f>
        <v>5417.5056859999995</v>
      </c>
      <c r="O16" s="67"/>
      <c r="P16" s="68">
        <f t="shared" si="11"/>
        <v>5417.5056859999995</v>
      </c>
      <c r="Q16" s="67">
        <f>5170.267414+247.238272</f>
        <v>5417.5056859999995</v>
      </c>
      <c r="R16" s="68"/>
      <c r="S16" s="67"/>
      <c r="T16" s="67"/>
      <c r="U16" s="67">
        <f t="shared" si="8"/>
        <v>0</v>
      </c>
      <c r="V16" s="67"/>
      <c r="W16" s="67"/>
      <c r="X16" s="67"/>
      <c r="Y16" s="67"/>
      <c r="Z16" s="67"/>
      <c r="AA16" s="67"/>
      <c r="AB16" s="69">
        <f t="shared" si="3"/>
        <v>93.356982353954834</v>
      </c>
      <c r="AC16" s="69"/>
      <c r="AD16" s="69">
        <f t="shared" si="4"/>
        <v>93.356982353954834</v>
      </c>
      <c r="AE16" s="69"/>
      <c r="AG16" s="9"/>
      <c r="AH16" s="6"/>
      <c r="AI16" s="9"/>
    </row>
    <row r="17" spans="1:38" s="16" customFormat="1" ht="24.75" customHeight="1" x14ac:dyDescent="0.25">
      <c r="A17" s="70" t="s">
        <v>265</v>
      </c>
      <c r="B17" s="72" t="s">
        <v>266</v>
      </c>
      <c r="C17" s="67">
        <f t="shared" si="9"/>
        <v>30712.26</v>
      </c>
      <c r="D17" s="73">
        <v>19.260000000000002</v>
      </c>
      <c r="E17" s="67">
        <f t="shared" si="10"/>
        <v>30693</v>
      </c>
      <c r="F17" s="67">
        <v>30693</v>
      </c>
      <c r="G17" s="67"/>
      <c r="H17" s="67"/>
      <c r="I17" s="67"/>
      <c r="J17" s="67"/>
      <c r="K17" s="67">
        <f t="shared" si="7"/>
        <v>0</v>
      </c>
      <c r="L17" s="67"/>
      <c r="M17" s="67"/>
      <c r="N17" s="67">
        <f t="shared" si="12"/>
        <v>83430.323854000002</v>
      </c>
      <c r="O17" s="67">
        <v>1701.2249999999999</v>
      </c>
      <c r="P17" s="68">
        <f t="shared" si="11"/>
        <v>81729.098853999996</v>
      </c>
      <c r="Q17" s="67">
        <f>1435.098+73080.019893+4721.003961+740.2+1752.777</f>
        <v>81729.098853999996</v>
      </c>
      <c r="R17" s="67"/>
      <c r="S17" s="67"/>
      <c r="T17" s="67"/>
      <c r="U17" s="67">
        <f t="shared" si="8"/>
        <v>0</v>
      </c>
      <c r="V17" s="67"/>
      <c r="W17" s="67"/>
      <c r="X17" s="67"/>
      <c r="Y17" s="67"/>
      <c r="Z17" s="67"/>
      <c r="AA17" s="67"/>
      <c r="AB17" s="69">
        <f t="shared" si="3"/>
        <v>271.65152891386049</v>
      </c>
      <c r="AC17" s="69">
        <f t="shared" si="3"/>
        <v>8832.9439252336433</v>
      </c>
      <c r="AD17" s="69">
        <f t="shared" si="4"/>
        <v>266.27927818720877</v>
      </c>
      <c r="AE17" s="69"/>
      <c r="AH17" s="45"/>
    </row>
    <row r="18" spans="1:38" s="16" customFormat="1" ht="24.75" customHeight="1" x14ac:dyDescent="0.25">
      <c r="A18" s="65" t="s">
        <v>267</v>
      </c>
      <c r="B18" s="66" t="s">
        <v>268</v>
      </c>
      <c r="C18" s="67">
        <f t="shared" si="9"/>
        <v>16833</v>
      </c>
      <c r="D18" s="67">
        <v>7611</v>
      </c>
      <c r="E18" s="67">
        <f t="shared" si="10"/>
        <v>9222</v>
      </c>
      <c r="F18" s="67">
        <v>9222</v>
      </c>
      <c r="G18" s="67"/>
      <c r="H18" s="67"/>
      <c r="I18" s="67"/>
      <c r="J18" s="67"/>
      <c r="K18" s="67">
        <f t="shared" si="7"/>
        <v>0</v>
      </c>
      <c r="L18" s="67"/>
      <c r="M18" s="67"/>
      <c r="N18" s="67">
        <f t="shared" si="12"/>
        <v>20992.247212999999</v>
      </c>
      <c r="O18" s="67">
        <v>12054.132412999999</v>
      </c>
      <c r="P18" s="68">
        <f t="shared" si="11"/>
        <v>8938.1147999999994</v>
      </c>
      <c r="Q18" s="68">
        <f>6421.6658+2516.449</f>
        <v>8938.1147999999994</v>
      </c>
      <c r="R18" s="67"/>
      <c r="S18" s="67"/>
      <c r="T18" s="67"/>
      <c r="U18" s="67">
        <f t="shared" si="8"/>
        <v>0</v>
      </c>
      <c r="V18" s="67"/>
      <c r="W18" s="67"/>
      <c r="X18" s="67"/>
      <c r="Y18" s="67"/>
      <c r="Z18" s="67"/>
      <c r="AA18" s="67"/>
      <c r="AB18" s="69">
        <f t="shared" si="3"/>
        <v>124.70888857007068</v>
      </c>
      <c r="AC18" s="69">
        <f t="shared" si="3"/>
        <v>158.37777444488239</v>
      </c>
      <c r="AD18" s="69">
        <f t="shared" si="4"/>
        <v>96.921652569941443</v>
      </c>
      <c r="AE18" s="69"/>
    </row>
    <row r="19" spans="1:38" s="16" customFormat="1" ht="24.75" customHeight="1" x14ac:dyDescent="0.25">
      <c r="A19" s="70" t="s">
        <v>269</v>
      </c>
      <c r="B19" s="72" t="s">
        <v>270</v>
      </c>
      <c r="C19" s="67">
        <f t="shared" si="9"/>
        <v>397187.68200000003</v>
      </c>
      <c r="D19" s="67">
        <v>41445.682000000001</v>
      </c>
      <c r="E19" s="67">
        <f t="shared" si="10"/>
        <v>355742</v>
      </c>
      <c r="F19" s="67">
        <v>349969</v>
      </c>
      <c r="G19" s="67">
        <v>100</v>
      </c>
      <c r="H19" s="67">
        <f>1205+562+3868+38</f>
        <v>5673</v>
      </c>
      <c r="I19" s="67"/>
      <c r="J19" s="67"/>
      <c r="K19" s="67">
        <f t="shared" si="7"/>
        <v>0</v>
      </c>
      <c r="L19" s="67"/>
      <c r="M19" s="67"/>
      <c r="N19" s="67">
        <f t="shared" si="12"/>
        <v>430500.7961080001</v>
      </c>
      <c r="O19" s="67">
        <v>44775.869199999994</v>
      </c>
      <c r="P19" s="68">
        <f t="shared" si="11"/>
        <v>385724.92690800008</v>
      </c>
      <c r="Q19" s="74">
        <f>10942.04+10572.282+5780.957+12177.33275+5776.734+9737.712+10242.058967+96.819+3180.6319+3841.173104+9741.8205+12153.35+4622.072+11707.306199+8139.9885+10799.257049+27200.227856+107857.252164+17121.466397+47093.542+12031.697236+8706.257302+9054.385+7198.397+4433.7795+7591.198484+7925.189</f>
        <v>385724.92690800008</v>
      </c>
      <c r="R19" s="67"/>
      <c r="S19" s="67"/>
      <c r="T19" s="67"/>
      <c r="U19" s="67">
        <f t="shared" si="8"/>
        <v>0</v>
      </c>
      <c r="V19" s="67"/>
      <c r="W19" s="67"/>
      <c r="X19" s="67"/>
      <c r="Y19" s="67"/>
      <c r="Z19" s="67"/>
      <c r="AA19" s="67"/>
      <c r="AB19" s="69">
        <f t="shared" si="3"/>
        <v>108.38724754510389</v>
      </c>
      <c r="AC19" s="69">
        <f t="shared" si="3"/>
        <v>108.03506430416562</v>
      </c>
      <c r="AD19" s="69">
        <f t="shared" si="4"/>
        <v>108.42827861427666</v>
      </c>
      <c r="AE19" s="69"/>
      <c r="AL19" s="45"/>
    </row>
    <row r="20" spans="1:38" s="16" customFormat="1" ht="24.75" customHeight="1" x14ac:dyDescent="0.25">
      <c r="A20" s="65" t="s">
        <v>271</v>
      </c>
      <c r="B20" s="72" t="s">
        <v>272</v>
      </c>
      <c r="C20" s="67">
        <f t="shared" si="9"/>
        <v>343481</v>
      </c>
      <c r="D20" s="67">
        <f>30728+236-1</f>
        <v>30963</v>
      </c>
      <c r="E20" s="67">
        <f t="shared" si="10"/>
        <v>312518</v>
      </c>
      <c r="F20" s="67">
        <v>306306</v>
      </c>
      <c r="G20" s="67">
        <f>1529+4683</f>
        <v>6212</v>
      </c>
      <c r="H20" s="67"/>
      <c r="I20" s="67"/>
      <c r="J20" s="67"/>
      <c r="K20" s="67">
        <f t="shared" si="7"/>
        <v>0</v>
      </c>
      <c r="L20" s="67"/>
      <c r="M20" s="67"/>
      <c r="N20" s="67">
        <f t="shared" si="12"/>
        <v>355196.64174699999</v>
      </c>
      <c r="O20" s="67">
        <v>21207.079999999998</v>
      </c>
      <c r="P20" s="68">
        <f t="shared" si="11"/>
        <v>333989.56174699997</v>
      </c>
      <c r="Q20" s="67">
        <f>105+235544.825497+14902.534291+20432.742614+2622.671+13530.085411+2389.187+13171.844592+8880.91539+2923.854+364.70208+5510.860921+1120+2941.829</f>
        <v>324441.05179599999</v>
      </c>
      <c r="R20" s="67">
        <f>9548.509951</f>
        <v>9548.509951</v>
      </c>
      <c r="S20" s="67"/>
      <c r="T20" s="67"/>
      <c r="U20" s="67">
        <f t="shared" si="8"/>
        <v>0</v>
      </c>
      <c r="V20" s="67"/>
      <c r="W20" s="67"/>
      <c r="X20" s="67"/>
      <c r="Y20" s="67"/>
      <c r="Z20" s="67"/>
      <c r="AA20" s="67"/>
      <c r="AB20" s="69">
        <f t="shared" si="3"/>
        <v>103.41085583976988</v>
      </c>
      <c r="AC20" s="69">
        <f t="shared" si="3"/>
        <v>68.49168362238801</v>
      </c>
      <c r="AD20" s="69">
        <f t="shared" si="4"/>
        <v>106.87050401800856</v>
      </c>
      <c r="AE20" s="69"/>
    </row>
    <row r="21" spans="1:38" s="16" customFormat="1" ht="24.75" customHeight="1" x14ac:dyDescent="0.25">
      <c r="A21" s="70" t="s">
        <v>273</v>
      </c>
      <c r="B21" s="72" t="s">
        <v>522</v>
      </c>
      <c r="C21" s="67">
        <f t="shared" si="9"/>
        <v>66367</v>
      </c>
      <c r="D21" s="67">
        <v>20298</v>
      </c>
      <c r="E21" s="67">
        <f t="shared" si="10"/>
        <v>46069</v>
      </c>
      <c r="F21" s="67">
        <v>46031</v>
      </c>
      <c r="G21" s="67"/>
      <c r="H21" s="67">
        <v>38</v>
      </c>
      <c r="I21" s="67"/>
      <c r="J21" s="67"/>
      <c r="K21" s="67">
        <f t="shared" si="7"/>
        <v>0</v>
      </c>
      <c r="L21" s="67"/>
      <c r="M21" s="67"/>
      <c r="N21" s="67">
        <f t="shared" si="12"/>
        <v>40984.648715000003</v>
      </c>
      <c r="O21" s="67">
        <v>3522.6559999999999</v>
      </c>
      <c r="P21" s="68">
        <f t="shared" si="11"/>
        <v>37461.992715</v>
      </c>
      <c r="Q21" s="67">
        <f>25327.994226+9172.340489+2961.658</f>
        <v>37461.992715</v>
      </c>
      <c r="R21" s="67"/>
      <c r="S21" s="67"/>
      <c r="T21" s="67"/>
      <c r="U21" s="67">
        <f t="shared" si="8"/>
        <v>0</v>
      </c>
      <c r="V21" s="67"/>
      <c r="W21" s="67"/>
      <c r="X21" s="67"/>
      <c r="Y21" s="67"/>
      <c r="Z21" s="67"/>
      <c r="AA21" s="67"/>
      <c r="AB21" s="69">
        <f t="shared" si="3"/>
        <v>61.754559818885902</v>
      </c>
      <c r="AC21" s="69">
        <f t="shared" si="3"/>
        <v>17.354695043846686</v>
      </c>
      <c r="AD21" s="69">
        <f t="shared" si="4"/>
        <v>81.317138889491844</v>
      </c>
      <c r="AE21" s="69"/>
    </row>
    <row r="22" spans="1:38" s="16" customFormat="1" ht="24.75" customHeight="1" x14ac:dyDescent="0.25">
      <c r="A22" s="65" t="s">
        <v>274</v>
      </c>
      <c r="B22" s="72" t="s">
        <v>275</v>
      </c>
      <c r="C22" s="67">
        <f t="shared" si="9"/>
        <v>213246</v>
      </c>
      <c r="D22" s="67">
        <v>1354</v>
      </c>
      <c r="E22" s="67">
        <f t="shared" si="10"/>
        <v>211892</v>
      </c>
      <c r="F22" s="67">
        <v>210821</v>
      </c>
      <c r="G22" s="67"/>
      <c r="H22" s="67">
        <f>131+940</f>
        <v>1071</v>
      </c>
      <c r="I22" s="67"/>
      <c r="J22" s="67"/>
      <c r="K22" s="67">
        <f t="shared" si="7"/>
        <v>0</v>
      </c>
      <c r="L22" s="67"/>
      <c r="M22" s="67"/>
      <c r="N22" s="67">
        <f t="shared" si="12"/>
        <v>22972.895318999999</v>
      </c>
      <c r="O22" s="67">
        <v>1354</v>
      </c>
      <c r="P22" s="68">
        <f t="shared" si="11"/>
        <v>21618.895318999999</v>
      </c>
      <c r="Q22" s="67">
        <f>2154.679513+10017.026284+9447.189522</f>
        <v>21618.895318999999</v>
      </c>
      <c r="R22" s="67"/>
      <c r="S22" s="67"/>
      <c r="T22" s="67"/>
      <c r="U22" s="67">
        <f t="shared" si="8"/>
        <v>0</v>
      </c>
      <c r="V22" s="67"/>
      <c r="W22" s="67"/>
      <c r="X22" s="67"/>
      <c r="Y22" s="67"/>
      <c r="Z22" s="67"/>
      <c r="AA22" s="67"/>
      <c r="AB22" s="69">
        <f t="shared" si="3"/>
        <v>10.772954859176725</v>
      </c>
      <c r="AC22" s="69">
        <f t="shared" si="3"/>
        <v>100</v>
      </c>
      <c r="AD22" s="69">
        <f t="shared" si="4"/>
        <v>10.202789779227153</v>
      </c>
      <c r="AE22" s="69"/>
    </row>
    <row r="23" spans="1:38" s="16" customFormat="1" ht="24.75" customHeight="1" x14ac:dyDescent="0.25">
      <c r="A23" s="70" t="s">
        <v>276</v>
      </c>
      <c r="B23" s="72" t="s">
        <v>277</v>
      </c>
      <c r="C23" s="67">
        <f t="shared" si="9"/>
        <v>9285</v>
      </c>
      <c r="D23" s="67"/>
      <c r="E23" s="67">
        <f t="shared" si="10"/>
        <v>9285</v>
      </c>
      <c r="F23" s="67">
        <v>9247</v>
      </c>
      <c r="G23" s="67"/>
      <c r="H23" s="67">
        <v>38</v>
      </c>
      <c r="I23" s="67"/>
      <c r="J23" s="67"/>
      <c r="K23" s="67">
        <f t="shared" si="7"/>
        <v>0</v>
      </c>
      <c r="L23" s="67"/>
      <c r="M23" s="67"/>
      <c r="N23" s="67">
        <f t="shared" si="12"/>
        <v>7878.4512000000004</v>
      </c>
      <c r="O23" s="67"/>
      <c r="P23" s="68">
        <f t="shared" si="11"/>
        <v>7878.4512000000004</v>
      </c>
      <c r="Q23" s="67">
        <f>1599+5860.4512+419</f>
        <v>7878.4512000000004</v>
      </c>
      <c r="R23" s="67"/>
      <c r="S23" s="67"/>
      <c r="T23" s="67"/>
      <c r="U23" s="67">
        <f t="shared" si="8"/>
        <v>0</v>
      </c>
      <c r="V23" s="67"/>
      <c r="W23" s="67"/>
      <c r="X23" s="67"/>
      <c r="Y23" s="67"/>
      <c r="Z23" s="67"/>
      <c r="AA23" s="67"/>
      <c r="AB23" s="69">
        <f t="shared" si="3"/>
        <v>84.851386106623593</v>
      </c>
      <c r="AC23" s="69"/>
      <c r="AD23" s="69">
        <f t="shared" si="4"/>
        <v>84.851386106623593</v>
      </c>
      <c r="AE23" s="69"/>
    </row>
    <row r="24" spans="1:38" s="16" customFormat="1" ht="34.5" customHeight="1" x14ac:dyDescent="0.25">
      <c r="A24" s="65" t="s">
        <v>278</v>
      </c>
      <c r="B24" s="72" t="s">
        <v>279</v>
      </c>
      <c r="C24" s="67">
        <f t="shared" si="9"/>
        <v>106853</v>
      </c>
      <c r="D24" s="67">
        <v>40650</v>
      </c>
      <c r="E24" s="67">
        <f t="shared" si="10"/>
        <v>66203</v>
      </c>
      <c r="F24" s="67">
        <v>66158</v>
      </c>
      <c r="G24" s="67"/>
      <c r="H24" s="67">
        <v>45</v>
      </c>
      <c r="I24" s="67"/>
      <c r="J24" s="67"/>
      <c r="K24" s="67">
        <f t="shared" si="7"/>
        <v>0</v>
      </c>
      <c r="L24" s="67"/>
      <c r="M24" s="67"/>
      <c r="N24" s="67">
        <f t="shared" si="12"/>
        <v>67884.233311999997</v>
      </c>
      <c r="O24" s="67">
        <f>2968.613+500</f>
        <v>3468.6129999999998</v>
      </c>
      <c r="P24" s="68">
        <f t="shared" si="11"/>
        <v>64415.620311999999</v>
      </c>
      <c r="Q24" s="67"/>
      <c r="R24" s="67">
        <v>64415.620311999999</v>
      </c>
      <c r="S24" s="67"/>
      <c r="T24" s="67"/>
      <c r="U24" s="67">
        <f t="shared" si="8"/>
        <v>0</v>
      </c>
      <c r="V24" s="67"/>
      <c r="W24" s="67"/>
      <c r="X24" s="67"/>
      <c r="Y24" s="67"/>
      <c r="Z24" s="67"/>
      <c r="AA24" s="67"/>
      <c r="AB24" s="69">
        <f t="shared" si="3"/>
        <v>63.530488907190254</v>
      </c>
      <c r="AC24" s="69">
        <f t="shared" si="3"/>
        <v>8.5328733087330875</v>
      </c>
      <c r="AD24" s="69">
        <f t="shared" si="4"/>
        <v>97.300153032339921</v>
      </c>
      <c r="AE24" s="69"/>
    </row>
    <row r="25" spans="1:38" s="16" customFormat="1" ht="24.75" customHeight="1" x14ac:dyDescent="0.25">
      <c r="A25" s="70" t="s">
        <v>280</v>
      </c>
      <c r="B25" s="72" t="s">
        <v>281</v>
      </c>
      <c r="C25" s="67">
        <f t="shared" si="9"/>
        <v>32352</v>
      </c>
      <c r="D25" s="67">
        <v>12500</v>
      </c>
      <c r="E25" s="67">
        <f t="shared" si="10"/>
        <v>19852</v>
      </c>
      <c r="F25" s="67">
        <v>19352</v>
      </c>
      <c r="G25" s="67"/>
      <c r="H25" s="67">
        <v>500</v>
      </c>
      <c r="I25" s="67"/>
      <c r="J25" s="67"/>
      <c r="K25" s="67">
        <f t="shared" si="7"/>
        <v>0</v>
      </c>
      <c r="L25" s="67"/>
      <c r="M25" s="67"/>
      <c r="N25" s="67">
        <f t="shared" si="12"/>
        <v>29425.206241</v>
      </c>
      <c r="O25" s="67">
        <v>17646.610184000001</v>
      </c>
      <c r="P25" s="68">
        <f t="shared" si="11"/>
        <v>11778.596057000001</v>
      </c>
      <c r="Q25" s="67">
        <f>9519.878105+285.200455+1973.517497</f>
        <v>11778.596057000001</v>
      </c>
      <c r="R25" s="67"/>
      <c r="S25" s="67"/>
      <c r="T25" s="67"/>
      <c r="U25" s="67">
        <f t="shared" si="8"/>
        <v>0</v>
      </c>
      <c r="V25" s="67"/>
      <c r="W25" s="67"/>
      <c r="X25" s="67"/>
      <c r="Y25" s="67"/>
      <c r="Z25" s="67"/>
      <c r="AA25" s="67"/>
      <c r="AB25" s="69">
        <f t="shared" si="3"/>
        <v>90.953283385880326</v>
      </c>
      <c r="AC25" s="69">
        <f t="shared" si="3"/>
        <v>141.172881472</v>
      </c>
      <c r="AD25" s="69">
        <f t="shared" si="4"/>
        <v>59.332037361474917</v>
      </c>
      <c r="AE25" s="69"/>
    </row>
    <row r="26" spans="1:38" s="16" customFormat="1" ht="24.75" customHeight="1" x14ac:dyDescent="0.25">
      <c r="A26" s="65" t="s">
        <v>282</v>
      </c>
      <c r="B26" s="72" t="s">
        <v>283</v>
      </c>
      <c r="C26" s="67">
        <f t="shared" si="9"/>
        <v>14280</v>
      </c>
      <c r="D26" s="67">
        <v>2950</v>
      </c>
      <c r="E26" s="67">
        <f t="shared" si="10"/>
        <v>11330</v>
      </c>
      <c r="F26" s="67">
        <v>11204</v>
      </c>
      <c r="G26" s="67"/>
      <c r="H26" s="67">
        <v>126</v>
      </c>
      <c r="I26" s="67"/>
      <c r="J26" s="67"/>
      <c r="K26" s="67">
        <f t="shared" si="7"/>
        <v>0</v>
      </c>
      <c r="L26" s="67"/>
      <c r="M26" s="67"/>
      <c r="N26" s="67">
        <f t="shared" si="12"/>
        <v>13643.786592</v>
      </c>
      <c r="O26" s="67">
        <v>2824.129148</v>
      </c>
      <c r="P26" s="68">
        <f t="shared" si="11"/>
        <v>10819.657444</v>
      </c>
      <c r="Q26" s="67">
        <f>2786.214444+7089.443+216+296+432</f>
        <v>10819.657444</v>
      </c>
      <c r="R26" s="67"/>
      <c r="S26" s="67"/>
      <c r="T26" s="67"/>
      <c r="U26" s="67">
        <f t="shared" si="8"/>
        <v>0</v>
      </c>
      <c r="V26" s="67"/>
      <c r="W26" s="67"/>
      <c r="X26" s="67"/>
      <c r="Y26" s="67"/>
      <c r="Z26" s="67"/>
      <c r="AA26" s="67"/>
      <c r="AB26" s="69">
        <f t="shared" si="3"/>
        <v>95.544724033613434</v>
      </c>
      <c r="AC26" s="69">
        <f t="shared" si="3"/>
        <v>95.733191457627115</v>
      </c>
      <c r="AD26" s="69">
        <f t="shared" si="4"/>
        <v>95.495652639011482</v>
      </c>
      <c r="AE26" s="69"/>
    </row>
    <row r="27" spans="1:38" s="16" customFormat="1" ht="24.75" customHeight="1" x14ac:dyDescent="0.25">
      <c r="A27" s="70" t="s">
        <v>284</v>
      </c>
      <c r="B27" s="72" t="s">
        <v>285</v>
      </c>
      <c r="C27" s="67">
        <f t="shared" si="9"/>
        <v>12784</v>
      </c>
      <c r="D27" s="67"/>
      <c r="E27" s="67">
        <f t="shared" si="10"/>
        <v>12784</v>
      </c>
      <c r="F27" s="67">
        <v>12746</v>
      </c>
      <c r="G27" s="67"/>
      <c r="H27" s="67">
        <v>38</v>
      </c>
      <c r="I27" s="67"/>
      <c r="J27" s="67"/>
      <c r="K27" s="67">
        <f t="shared" si="7"/>
        <v>0</v>
      </c>
      <c r="L27" s="67"/>
      <c r="M27" s="67"/>
      <c r="N27" s="67">
        <f t="shared" si="12"/>
        <v>12017.171110000001</v>
      </c>
      <c r="O27" s="67"/>
      <c r="P27" s="68">
        <f t="shared" si="11"/>
        <v>12017.171110000001</v>
      </c>
      <c r="Q27" s="67">
        <f>11351.365013+665.806097</f>
        <v>12017.171110000001</v>
      </c>
      <c r="R27" s="67"/>
      <c r="S27" s="67"/>
      <c r="T27" s="67"/>
      <c r="U27" s="67">
        <f t="shared" si="8"/>
        <v>0</v>
      </c>
      <c r="V27" s="67"/>
      <c r="W27" s="67"/>
      <c r="X27" s="67"/>
      <c r="Y27" s="67"/>
      <c r="Z27" s="67"/>
      <c r="AA27" s="67"/>
      <c r="AB27" s="69">
        <f t="shared" ref="AB27:AC90" si="13">N27/C27%</f>
        <v>94.001651361076355</v>
      </c>
      <c r="AC27" s="69"/>
      <c r="AD27" s="69">
        <f t="shared" si="4"/>
        <v>94.001651361076355</v>
      </c>
      <c r="AE27" s="69"/>
    </row>
    <row r="28" spans="1:38" s="16" customFormat="1" ht="24.75" customHeight="1" x14ac:dyDescent="0.25">
      <c r="A28" s="65" t="s">
        <v>286</v>
      </c>
      <c r="B28" s="72" t="s">
        <v>287</v>
      </c>
      <c r="C28" s="67">
        <f t="shared" si="9"/>
        <v>169536.39600000001</v>
      </c>
      <c r="D28" s="67">
        <f>154584.396+57</f>
        <v>154641.39600000001</v>
      </c>
      <c r="E28" s="67">
        <f t="shared" si="10"/>
        <v>14895</v>
      </c>
      <c r="F28" s="67">
        <v>14895</v>
      </c>
      <c r="G28" s="67"/>
      <c r="H28" s="67"/>
      <c r="I28" s="67"/>
      <c r="J28" s="67"/>
      <c r="K28" s="67">
        <f t="shared" si="7"/>
        <v>0</v>
      </c>
      <c r="L28" s="67"/>
      <c r="M28" s="67"/>
      <c r="N28" s="67">
        <f t="shared" si="12"/>
        <v>257672.10697399999</v>
      </c>
      <c r="O28" s="67">
        <f>243499.554982+1166</f>
        <v>244665.554982</v>
      </c>
      <c r="P28" s="68">
        <f t="shared" si="11"/>
        <v>13006.551992000001</v>
      </c>
      <c r="Q28" s="67">
        <f>10389.908727+1281.794+1334.849265</f>
        <v>13006.551992000001</v>
      </c>
      <c r="R28" s="67"/>
      <c r="S28" s="67"/>
      <c r="T28" s="67"/>
      <c r="U28" s="67">
        <f t="shared" si="8"/>
        <v>0</v>
      </c>
      <c r="V28" s="67"/>
      <c r="W28" s="67"/>
      <c r="X28" s="67"/>
      <c r="Y28" s="67"/>
      <c r="Z28" s="67"/>
      <c r="AA28" s="67"/>
      <c r="AB28" s="69">
        <f t="shared" si="13"/>
        <v>151.98630680694663</v>
      </c>
      <c r="AC28" s="69">
        <f t="shared" si="13"/>
        <v>158.21478679744976</v>
      </c>
      <c r="AD28" s="69">
        <f t="shared" si="4"/>
        <v>87.32159779791877</v>
      </c>
      <c r="AE28" s="69"/>
    </row>
    <row r="29" spans="1:38" s="16" customFormat="1" ht="24.75" customHeight="1" x14ac:dyDescent="0.25">
      <c r="A29" s="70" t="s">
        <v>288</v>
      </c>
      <c r="B29" s="72" t="s">
        <v>289</v>
      </c>
      <c r="C29" s="67">
        <f t="shared" si="9"/>
        <v>15365</v>
      </c>
      <c r="D29" s="67">
        <v>50</v>
      </c>
      <c r="E29" s="67">
        <f t="shared" si="10"/>
        <v>15315</v>
      </c>
      <c r="F29" s="67">
        <v>15315</v>
      </c>
      <c r="G29" s="67"/>
      <c r="H29" s="67"/>
      <c r="I29" s="67"/>
      <c r="J29" s="67"/>
      <c r="K29" s="67">
        <f t="shared" si="7"/>
        <v>0</v>
      </c>
      <c r="L29" s="67"/>
      <c r="M29" s="67"/>
      <c r="N29" s="67">
        <f t="shared" si="12"/>
        <v>22000.403539999999</v>
      </c>
      <c r="O29" s="67"/>
      <c r="P29" s="68">
        <f t="shared" si="11"/>
        <v>22000.403539999999</v>
      </c>
      <c r="Q29" s="68">
        <f>17483.887133+330.728539+1573.499158+2612.28871</f>
        <v>22000.403539999999</v>
      </c>
      <c r="R29" s="67"/>
      <c r="S29" s="67"/>
      <c r="T29" s="67"/>
      <c r="U29" s="67">
        <f t="shared" si="8"/>
        <v>0</v>
      </c>
      <c r="V29" s="67"/>
      <c r="W29" s="67"/>
      <c r="X29" s="67"/>
      <c r="Y29" s="67"/>
      <c r="Z29" s="67"/>
      <c r="AA29" s="67"/>
      <c r="AB29" s="69">
        <f t="shared" si="13"/>
        <v>143.18518411975268</v>
      </c>
      <c r="AC29" s="69">
        <f t="shared" si="13"/>
        <v>0</v>
      </c>
      <c r="AD29" s="69">
        <f t="shared" si="4"/>
        <v>143.65265125693765</v>
      </c>
      <c r="AE29" s="69"/>
    </row>
    <row r="30" spans="1:38" s="16" customFormat="1" ht="24.75" customHeight="1" x14ac:dyDescent="0.25">
      <c r="A30" s="65" t="s">
        <v>290</v>
      </c>
      <c r="B30" s="72" t="s">
        <v>291</v>
      </c>
      <c r="C30" s="67">
        <f t="shared" si="9"/>
        <v>18163</v>
      </c>
      <c r="D30" s="67">
        <v>1200</v>
      </c>
      <c r="E30" s="67">
        <f t="shared" si="10"/>
        <v>16963</v>
      </c>
      <c r="F30" s="67">
        <v>16918</v>
      </c>
      <c r="G30" s="67"/>
      <c r="H30" s="67">
        <v>45</v>
      </c>
      <c r="I30" s="67"/>
      <c r="J30" s="67"/>
      <c r="K30" s="67">
        <f t="shared" si="7"/>
        <v>0</v>
      </c>
      <c r="L30" s="67"/>
      <c r="M30" s="67"/>
      <c r="N30" s="67">
        <f t="shared" si="12"/>
        <v>18943.23</v>
      </c>
      <c r="O30" s="67">
        <v>1933.806</v>
      </c>
      <c r="P30" s="68">
        <f t="shared" si="11"/>
        <v>17009.423999999999</v>
      </c>
      <c r="Q30" s="67">
        <f>17009.424</f>
        <v>17009.423999999999</v>
      </c>
      <c r="R30" s="67"/>
      <c r="S30" s="67"/>
      <c r="T30" s="67"/>
      <c r="U30" s="67">
        <f t="shared" si="8"/>
        <v>0</v>
      </c>
      <c r="V30" s="67"/>
      <c r="W30" s="67"/>
      <c r="X30" s="67"/>
      <c r="Y30" s="67"/>
      <c r="Z30" s="67"/>
      <c r="AA30" s="67"/>
      <c r="AB30" s="69">
        <f t="shared" si="13"/>
        <v>104.29571106094808</v>
      </c>
      <c r="AC30" s="69">
        <f t="shared" si="13"/>
        <v>161.15049999999999</v>
      </c>
      <c r="AD30" s="69">
        <f t="shared" si="4"/>
        <v>100.27367800506985</v>
      </c>
      <c r="AE30" s="69"/>
    </row>
    <row r="31" spans="1:38" s="16" customFormat="1" ht="24.75" customHeight="1" x14ac:dyDescent="0.25">
      <c r="A31" s="70" t="s">
        <v>292</v>
      </c>
      <c r="B31" s="72" t="s">
        <v>131</v>
      </c>
      <c r="C31" s="67">
        <f t="shared" si="9"/>
        <v>6540</v>
      </c>
      <c r="D31" s="67"/>
      <c r="E31" s="67">
        <f t="shared" si="10"/>
        <v>6540</v>
      </c>
      <c r="F31" s="67">
        <v>5915</v>
      </c>
      <c r="G31" s="67"/>
      <c r="H31" s="67">
        <f>196+429</f>
        <v>625</v>
      </c>
      <c r="I31" s="67"/>
      <c r="J31" s="67"/>
      <c r="K31" s="67">
        <f t="shared" si="7"/>
        <v>0</v>
      </c>
      <c r="L31" s="67"/>
      <c r="M31" s="67"/>
      <c r="N31" s="67">
        <f t="shared" si="12"/>
        <v>90204.507664999997</v>
      </c>
      <c r="O31" s="67">
        <v>84143.342665000004</v>
      </c>
      <c r="P31" s="68">
        <f t="shared" si="11"/>
        <v>6061.165</v>
      </c>
      <c r="Q31" s="67">
        <v>6061.165</v>
      </c>
      <c r="R31" s="67"/>
      <c r="S31" s="67"/>
      <c r="T31" s="67"/>
      <c r="U31" s="67">
        <f t="shared" si="8"/>
        <v>0</v>
      </c>
      <c r="V31" s="67"/>
      <c r="W31" s="67"/>
      <c r="X31" s="67"/>
      <c r="Y31" s="67"/>
      <c r="Z31" s="67"/>
      <c r="AA31" s="67"/>
      <c r="AB31" s="69">
        <f t="shared" si="13"/>
        <v>1379.2738175076452</v>
      </c>
      <c r="AC31" s="69"/>
      <c r="AD31" s="69">
        <f t="shared" si="4"/>
        <v>92.67836391437308</v>
      </c>
      <c r="AE31" s="69"/>
    </row>
    <row r="32" spans="1:38" s="16" customFormat="1" ht="24.75" customHeight="1" x14ac:dyDescent="0.25">
      <c r="A32" s="65" t="s">
        <v>293</v>
      </c>
      <c r="B32" s="72" t="s">
        <v>294</v>
      </c>
      <c r="C32" s="67">
        <f t="shared" si="9"/>
        <v>8351</v>
      </c>
      <c r="D32" s="67"/>
      <c r="E32" s="67">
        <f t="shared" si="10"/>
        <v>8351</v>
      </c>
      <c r="F32" s="67">
        <v>8351</v>
      </c>
      <c r="G32" s="67"/>
      <c r="H32" s="67"/>
      <c r="I32" s="67"/>
      <c r="J32" s="67"/>
      <c r="K32" s="67">
        <f t="shared" si="7"/>
        <v>0</v>
      </c>
      <c r="L32" s="67"/>
      <c r="M32" s="67"/>
      <c r="N32" s="67">
        <f t="shared" si="12"/>
        <v>7175.5634520000003</v>
      </c>
      <c r="O32" s="67"/>
      <c r="P32" s="68">
        <f t="shared" si="11"/>
        <v>7175.5634520000003</v>
      </c>
      <c r="Q32" s="67">
        <f>5043.4602+2132.103252</f>
        <v>7175.5634520000003</v>
      </c>
      <c r="R32" s="67"/>
      <c r="S32" s="67"/>
      <c r="T32" s="67"/>
      <c r="U32" s="67">
        <f t="shared" si="8"/>
        <v>0</v>
      </c>
      <c r="V32" s="67"/>
      <c r="W32" s="67"/>
      <c r="X32" s="67"/>
      <c r="Y32" s="67"/>
      <c r="Z32" s="67"/>
      <c r="AA32" s="67"/>
      <c r="AB32" s="69">
        <f t="shared" si="13"/>
        <v>85.924601269309065</v>
      </c>
      <c r="AC32" s="69"/>
      <c r="AD32" s="69">
        <f t="shared" si="4"/>
        <v>85.924601269309065</v>
      </c>
      <c r="AE32" s="69"/>
    </row>
    <row r="33" spans="1:31" s="16" customFormat="1" ht="24.75" customHeight="1" x14ac:dyDescent="0.25">
      <c r="A33" s="70" t="s">
        <v>295</v>
      </c>
      <c r="B33" s="72" t="s">
        <v>523</v>
      </c>
      <c r="C33" s="67">
        <f t="shared" si="9"/>
        <v>7272</v>
      </c>
      <c r="D33" s="67"/>
      <c r="E33" s="67">
        <f t="shared" si="10"/>
        <v>7272</v>
      </c>
      <c r="F33" s="67">
        <v>7272</v>
      </c>
      <c r="G33" s="67"/>
      <c r="H33" s="67"/>
      <c r="I33" s="67"/>
      <c r="J33" s="67"/>
      <c r="K33" s="67">
        <f t="shared" si="7"/>
        <v>0</v>
      </c>
      <c r="L33" s="67"/>
      <c r="M33" s="67"/>
      <c r="N33" s="67">
        <f t="shared" si="12"/>
        <v>7656.1</v>
      </c>
      <c r="O33" s="67"/>
      <c r="P33" s="68">
        <f t="shared" si="11"/>
        <v>7656.1</v>
      </c>
      <c r="Q33" s="67">
        <v>7656.1</v>
      </c>
      <c r="R33" s="67"/>
      <c r="S33" s="67"/>
      <c r="T33" s="67"/>
      <c r="U33" s="67">
        <f t="shared" si="8"/>
        <v>0</v>
      </c>
      <c r="V33" s="67"/>
      <c r="W33" s="67"/>
      <c r="X33" s="67"/>
      <c r="Y33" s="67"/>
      <c r="Z33" s="67"/>
      <c r="AA33" s="67"/>
      <c r="AB33" s="69">
        <f t="shared" si="13"/>
        <v>105.28190319031904</v>
      </c>
      <c r="AC33" s="69"/>
      <c r="AD33" s="69">
        <f t="shared" si="4"/>
        <v>105.28190319031904</v>
      </c>
      <c r="AE33" s="69"/>
    </row>
    <row r="34" spans="1:31" s="16" customFormat="1" ht="24.75" customHeight="1" x14ac:dyDescent="0.25">
      <c r="A34" s="65" t="s">
        <v>296</v>
      </c>
      <c r="B34" s="72" t="s">
        <v>297</v>
      </c>
      <c r="C34" s="67">
        <f t="shared" si="9"/>
        <v>14115</v>
      </c>
      <c r="D34" s="67"/>
      <c r="E34" s="67">
        <f t="shared" si="10"/>
        <v>14115</v>
      </c>
      <c r="F34" s="67">
        <f>13815+300</f>
        <v>14115</v>
      </c>
      <c r="G34" s="67"/>
      <c r="H34" s="67"/>
      <c r="I34" s="67"/>
      <c r="J34" s="67"/>
      <c r="K34" s="67">
        <f t="shared" si="7"/>
        <v>0</v>
      </c>
      <c r="L34" s="67"/>
      <c r="M34" s="67"/>
      <c r="N34" s="67">
        <f t="shared" si="12"/>
        <v>15333.475177999999</v>
      </c>
      <c r="O34" s="67">
        <v>114.497</v>
      </c>
      <c r="P34" s="68">
        <f t="shared" si="11"/>
        <v>15218.978177999999</v>
      </c>
      <c r="Q34" s="67">
        <v>15218.978177999999</v>
      </c>
      <c r="R34" s="67"/>
      <c r="S34" s="67"/>
      <c r="T34" s="67"/>
      <c r="U34" s="67">
        <f t="shared" si="8"/>
        <v>0</v>
      </c>
      <c r="V34" s="67"/>
      <c r="W34" s="67"/>
      <c r="X34" s="67"/>
      <c r="Y34" s="67"/>
      <c r="Z34" s="67"/>
      <c r="AA34" s="67"/>
      <c r="AB34" s="69">
        <f t="shared" si="13"/>
        <v>108.63248443499822</v>
      </c>
      <c r="AC34" s="69"/>
      <c r="AD34" s="69">
        <f t="shared" si="4"/>
        <v>107.82131192348564</v>
      </c>
      <c r="AE34" s="69"/>
    </row>
    <row r="35" spans="1:31" s="16" customFormat="1" ht="24.75" customHeight="1" x14ac:dyDescent="0.25">
      <c r="A35" s="70" t="s">
        <v>298</v>
      </c>
      <c r="B35" s="72" t="s">
        <v>524</v>
      </c>
      <c r="C35" s="67">
        <f t="shared" si="9"/>
        <v>4814</v>
      </c>
      <c r="D35" s="67"/>
      <c r="E35" s="67">
        <f t="shared" si="10"/>
        <v>4814</v>
      </c>
      <c r="F35" s="67">
        <v>4814</v>
      </c>
      <c r="G35" s="67"/>
      <c r="H35" s="67"/>
      <c r="I35" s="67"/>
      <c r="J35" s="67"/>
      <c r="K35" s="67">
        <f t="shared" si="7"/>
        <v>0</v>
      </c>
      <c r="L35" s="67"/>
      <c r="M35" s="67"/>
      <c r="N35" s="67">
        <f t="shared" si="12"/>
        <v>4474.28</v>
      </c>
      <c r="O35" s="67"/>
      <c r="P35" s="68">
        <f t="shared" si="11"/>
        <v>4474.28</v>
      </c>
      <c r="Q35" s="67">
        <v>4474.28</v>
      </c>
      <c r="R35" s="67"/>
      <c r="S35" s="67"/>
      <c r="T35" s="67"/>
      <c r="U35" s="67">
        <f t="shared" si="8"/>
        <v>0</v>
      </c>
      <c r="V35" s="67"/>
      <c r="W35" s="67"/>
      <c r="X35" s="67"/>
      <c r="Y35" s="67"/>
      <c r="Z35" s="67"/>
      <c r="AA35" s="67"/>
      <c r="AB35" s="69">
        <f t="shared" si="13"/>
        <v>92.943082675529695</v>
      </c>
      <c r="AC35" s="69"/>
      <c r="AD35" s="69">
        <f t="shared" si="4"/>
        <v>92.943082675529695</v>
      </c>
      <c r="AE35" s="69"/>
    </row>
    <row r="36" spans="1:31" s="16" customFormat="1" ht="24.75" customHeight="1" x14ac:dyDescent="0.25">
      <c r="A36" s="65" t="s">
        <v>299</v>
      </c>
      <c r="B36" s="72" t="s">
        <v>300</v>
      </c>
      <c r="C36" s="67">
        <f t="shared" si="9"/>
        <v>317719</v>
      </c>
      <c r="D36" s="67">
        <v>305530</v>
      </c>
      <c r="E36" s="67">
        <f t="shared" si="10"/>
        <v>12189</v>
      </c>
      <c r="F36" s="67">
        <v>12189</v>
      </c>
      <c r="G36" s="67"/>
      <c r="H36" s="67"/>
      <c r="I36" s="67"/>
      <c r="J36" s="67"/>
      <c r="K36" s="67">
        <f t="shared" si="7"/>
        <v>0</v>
      </c>
      <c r="L36" s="67"/>
      <c r="M36" s="67"/>
      <c r="N36" s="67">
        <f t="shared" si="12"/>
        <v>121327.26835</v>
      </c>
      <c r="O36" s="67">
        <v>110820.520492</v>
      </c>
      <c r="P36" s="68">
        <f t="shared" si="11"/>
        <v>10506.747857999999</v>
      </c>
      <c r="Q36" s="67">
        <f>8364.201038+2142.54682</f>
        <v>10506.747857999999</v>
      </c>
      <c r="R36" s="67"/>
      <c r="S36" s="67"/>
      <c r="T36" s="67"/>
      <c r="U36" s="67"/>
      <c r="V36" s="67"/>
      <c r="W36" s="67"/>
      <c r="X36" s="67"/>
      <c r="Y36" s="67"/>
      <c r="Z36" s="67"/>
      <c r="AA36" s="67"/>
      <c r="AB36" s="69">
        <f t="shared" si="13"/>
        <v>38.186972875402475</v>
      </c>
      <c r="AC36" s="69">
        <f t="shared" si="13"/>
        <v>36.271567601217555</v>
      </c>
      <c r="AD36" s="69">
        <f t="shared" si="4"/>
        <v>86.198604134875694</v>
      </c>
      <c r="AE36" s="69"/>
    </row>
    <row r="37" spans="1:31" s="16" customFormat="1" ht="24.75" customHeight="1" x14ac:dyDescent="0.25">
      <c r="A37" s="70" t="s">
        <v>301</v>
      </c>
      <c r="B37" s="72" t="s">
        <v>302</v>
      </c>
      <c r="C37" s="67">
        <f t="shared" si="9"/>
        <v>9876</v>
      </c>
      <c r="D37" s="67"/>
      <c r="E37" s="67">
        <f t="shared" si="10"/>
        <v>9876</v>
      </c>
      <c r="F37" s="67">
        <v>9876</v>
      </c>
      <c r="G37" s="67"/>
      <c r="H37" s="67"/>
      <c r="I37" s="67"/>
      <c r="J37" s="67"/>
      <c r="K37" s="67">
        <f t="shared" si="7"/>
        <v>0</v>
      </c>
      <c r="L37" s="67"/>
      <c r="M37" s="67"/>
      <c r="N37" s="67">
        <f t="shared" si="12"/>
        <v>13320.503273</v>
      </c>
      <c r="O37" s="67">
        <v>2488.8739999999998</v>
      </c>
      <c r="P37" s="68">
        <f t="shared" si="11"/>
        <v>10831.629273</v>
      </c>
      <c r="Q37" s="67">
        <v>10831.629273</v>
      </c>
      <c r="R37" s="67"/>
      <c r="S37" s="67"/>
      <c r="T37" s="67"/>
      <c r="U37" s="67">
        <f>V37+W37</f>
        <v>0</v>
      </c>
      <c r="V37" s="67"/>
      <c r="W37" s="67"/>
      <c r="X37" s="67"/>
      <c r="Y37" s="67"/>
      <c r="Z37" s="67"/>
      <c r="AA37" s="67"/>
      <c r="AB37" s="69">
        <f t="shared" si="13"/>
        <v>134.87751390238964</v>
      </c>
      <c r="AC37" s="69"/>
      <c r="AD37" s="69">
        <f t="shared" si="4"/>
        <v>109.67627858444715</v>
      </c>
      <c r="AE37" s="69"/>
    </row>
    <row r="38" spans="1:31" s="16" customFormat="1" ht="24.75" customHeight="1" x14ac:dyDescent="0.25">
      <c r="A38" s="65" t="s">
        <v>303</v>
      </c>
      <c r="B38" s="72" t="s">
        <v>304</v>
      </c>
      <c r="C38" s="67">
        <f t="shared" si="9"/>
        <v>29340</v>
      </c>
      <c r="D38" s="67">
        <v>250</v>
      </c>
      <c r="E38" s="67">
        <f t="shared" si="10"/>
        <v>29090</v>
      </c>
      <c r="F38" s="67">
        <v>29090</v>
      </c>
      <c r="G38" s="67"/>
      <c r="H38" s="67"/>
      <c r="I38" s="67"/>
      <c r="J38" s="67"/>
      <c r="K38" s="67">
        <f t="shared" si="7"/>
        <v>0</v>
      </c>
      <c r="L38" s="67"/>
      <c r="M38" s="67"/>
      <c r="N38" s="67">
        <f t="shared" si="12"/>
        <v>27409.481526</v>
      </c>
      <c r="O38" s="67">
        <v>981.59288500000014</v>
      </c>
      <c r="P38" s="68">
        <f t="shared" si="11"/>
        <v>26427.888640999998</v>
      </c>
      <c r="Q38" s="67">
        <f>22051.622743+4376.265898</f>
        <v>26427.888640999998</v>
      </c>
      <c r="R38" s="67"/>
      <c r="S38" s="67"/>
      <c r="T38" s="67"/>
      <c r="U38" s="67">
        <f>V38+W38</f>
        <v>0</v>
      </c>
      <c r="V38" s="67"/>
      <c r="W38" s="67"/>
      <c r="X38" s="67"/>
      <c r="Y38" s="67"/>
      <c r="Z38" s="67"/>
      <c r="AA38" s="67"/>
      <c r="AB38" s="69">
        <f t="shared" si="13"/>
        <v>93.420182433537832</v>
      </c>
      <c r="AC38" s="69">
        <f t="shared" si="13"/>
        <v>392.63715400000007</v>
      </c>
      <c r="AD38" s="69">
        <f t="shared" si="4"/>
        <v>90.848706225507044</v>
      </c>
      <c r="AE38" s="69"/>
    </row>
    <row r="39" spans="1:31" s="16" customFormat="1" ht="24.75" customHeight="1" x14ac:dyDescent="0.25">
      <c r="A39" s="70" t="s">
        <v>305</v>
      </c>
      <c r="B39" s="72" t="s">
        <v>306</v>
      </c>
      <c r="C39" s="67">
        <f t="shared" si="9"/>
        <v>2581</v>
      </c>
      <c r="D39" s="67"/>
      <c r="E39" s="67">
        <f t="shared" si="10"/>
        <v>2581</v>
      </c>
      <c r="F39" s="67">
        <v>2581</v>
      </c>
      <c r="G39" s="67"/>
      <c r="H39" s="67"/>
      <c r="I39" s="67"/>
      <c r="J39" s="67"/>
      <c r="K39" s="67">
        <f t="shared" si="7"/>
        <v>0</v>
      </c>
      <c r="L39" s="67"/>
      <c r="M39" s="67"/>
      <c r="N39" s="67">
        <f t="shared" si="12"/>
        <v>2374.2112120000002</v>
      </c>
      <c r="O39" s="67"/>
      <c r="P39" s="68">
        <f t="shared" si="11"/>
        <v>2374.2112120000002</v>
      </c>
      <c r="Q39" s="67">
        <v>2374.2112120000002</v>
      </c>
      <c r="R39" s="67"/>
      <c r="S39" s="67"/>
      <c r="T39" s="67"/>
      <c r="U39" s="67">
        <f>V39+W39</f>
        <v>0</v>
      </c>
      <c r="V39" s="67"/>
      <c r="W39" s="67"/>
      <c r="X39" s="67"/>
      <c r="Y39" s="67"/>
      <c r="Z39" s="67"/>
      <c r="AA39" s="67"/>
      <c r="AB39" s="69">
        <f t="shared" si="13"/>
        <v>91.988036110034884</v>
      </c>
      <c r="AC39" s="69"/>
      <c r="AD39" s="69">
        <f t="shared" si="4"/>
        <v>91.988036110034884</v>
      </c>
      <c r="AE39" s="69"/>
    </row>
    <row r="40" spans="1:31" s="16" customFormat="1" ht="24.75" customHeight="1" x14ac:dyDescent="0.25">
      <c r="A40" s="65" t="s">
        <v>307</v>
      </c>
      <c r="B40" s="72" t="s">
        <v>308</v>
      </c>
      <c r="C40" s="67">
        <f t="shared" si="9"/>
        <v>4505</v>
      </c>
      <c r="D40" s="67"/>
      <c r="E40" s="67">
        <f t="shared" si="10"/>
        <v>4505</v>
      </c>
      <c r="F40" s="67">
        <v>4505</v>
      </c>
      <c r="G40" s="67"/>
      <c r="H40" s="67"/>
      <c r="I40" s="67"/>
      <c r="J40" s="67"/>
      <c r="K40" s="67">
        <f t="shared" si="7"/>
        <v>0</v>
      </c>
      <c r="L40" s="67"/>
      <c r="M40" s="67"/>
      <c r="N40" s="67">
        <f t="shared" si="12"/>
        <v>4865.0263269999996</v>
      </c>
      <c r="O40" s="67"/>
      <c r="P40" s="68">
        <f t="shared" si="11"/>
        <v>4865.0263269999996</v>
      </c>
      <c r="Q40" s="67">
        <f>3693.54427+171.482057</f>
        <v>3865.026327</v>
      </c>
      <c r="R40" s="67">
        <v>1000</v>
      </c>
      <c r="S40" s="67"/>
      <c r="T40" s="67"/>
      <c r="U40" s="67">
        <f t="shared" ref="U40:U90" si="14">V40+W40</f>
        <v>0</v>
      </c>
      <c r="V40" s="67"/>
      <c r="W40" s="67"/>
      <c r="X40" s="67"/>
      <c r="Y40" s="67"/>
      <c r="Z40" s="67"/>
      <c r="AA40" s="67"/>
      <c r="AB40" s="69">
        <f t="shared" si="13"/>
        <v>107.9917053718091</v>
      </c>
      <c r="AC40" s="69"/>
      <c r="AD40" s="69">
        <f t="shared" si="4"/>
        <v>107.9917053718091</v>
      </c>
      <c r="AE40" s="69"/>
    </row>
    <row r="41" spans="1:31" s="16" customFormat="1" ht="24.75" customHeight="1" x14ac:dyDescent="0.25">
      <c r="A41" s="70" t="s">
        <v>309</v>
      </c>
      <c r="B41" s="72" t="s">
        <v>310</v>
      </c>
      <c r="C41" s="67">
        <f t="shared" si="9"/>
        <v>7723</v>
      </c>
      <c r="D41" s="67"/>
      <c r="E41" s="67">
        <f t="shared" si="10"/>
        <v>7723</v>
      </c>
      <c r="F41" s="67">
        <v>7685</v>
      </c>
      <c r="G41" s="67"/>
      <c r="H41" s="67">
        <v>38</v>
      </c>
      <c r="I41" s="67"/>
      <c r="J41" s="67"/>
      <c r="K41" s="67">
        <f t="shared" si="7"/>
        <v>0</v>
      </c>
      <c r="L41" s="67"/>
      <c r="M41" s="67"/>
      <c r="N41" s="67">
        <f t="shared" si="12"/>
        <v>8151.0581949999996</v>
      </c>
      <c r="O41" s="67"/>
      <c r="P41" s="68">
        <f t="shared" si="11"/>
        <v>8151.0581949999996</v>
      </c>
      <c r="Q41" s="67">
        <f>8151.058195</f>
        <v>8151.0581949999996</v>
      </c>
      <c r="R41" s="67"/>
      <c r="S41" s="67"/>
      <c r="T41" s="67"/>
      <c r="U41" s="67">
        <f t="shared" si="14"/>
        <v>0</v>
      </c>
      <c r="V41" s="67"/>
      <c r="W41" s="67"/>
      <c r="X41" s="67"/>
      <c r="Y41" s="67"/>
      <c r="Z41" s="67"/>
      <c r="AA41" s="67"/>
      <c r="AB41" s="69">
        <f t="shared" si="13"/>
        <v>105.54264139583063</v>
      </c>
      <c r="AC41" s="69"/>
      <c r="AD41" s="69">
        <f t="shared" si="4"/>
        <v>105.54264139583063</v>
      </c>
      <c r="AE41" s="69"/>
    </row>
    <row r="42" spans="1:31" s="16" customFormat="1" ht="24.75" customHeight="1" x14ac:dyDescent="0.25">
      <c r="A42" s="65" t="s">
        <v>311</v>
      </c>
      <c r="B42" s="72" t="s">
        <v>312</v>
      </c>
      <c r="C42" s="67">
        <f t="shared" si="9"/>
        <v>6532</v>
      </c>
      <c r="D42" s="67"/>
      <c r="E42" s="67">
        <f t="shared" si="10"/>
        <v>6532</v>
      </c>
      <c r="F42" s="67">
        <v>6365</v>
      </c>
      <c r="G42" s="67"/>
      <c r="H42" s="67">
        <v>167</v>
      </c>
      <c r="I42" s="67"/>
      <c r="J42" s="67"/>
      <c r="K42" s="67">
        <f t="shared" si="7"/>
        <v>0</v>
      </c>
      <c r="L42" s="67"/>
      <c r="M42" s="67"/>
      <c r="N42" s="67">
        <f t="shared" si="12"/>
        <v>6451.7469970000002</v>
      </c>
      <c r="O42" s="67"/>
      <c r="P42" s="68">
        <f t="shared" si="11"/>
        <v>6451.7469970000002</v>
      </c>
      <c r="Q42" s="67">
        <v>6451.7469970000002</v>
      </c>
      <c r="R42" s="67"/>
      <c r="S42" s="67"/>
      <c r="T42" s="67"/>
      <c r="U42" s="67">
        <f t="shared" si="14"/>
        <v>0</v>
      </c>
      <c r="V42" s="67"/>
      <c r="W42" s="67"/>
      <c r="X42" s="67"/>
      <c r="Y42" s="67"/>
      <c r="Z42" s="67"/>
      <c r="AA42" s="67"/>
      <c r="AB42" s="69">
        <f t="shared" si="13"/>
        <v>98.771386971830992</v>
      </c>
      <c r="AC42" s="69"/>
      <c r="AD42" s="69">
        <f t="shared" si="4"/>
        <v>98.771386971830992</v>
      </c>
      <c r="AE42" s="69"/>
    </row>
    <row r="43" spans="1:31" s="220" customFormat="1" ht="24.75" customHeight="1" x14ac:dyDescent="0.25">
      <c r="A43" s="216" t="s">
        <v>313</v>
      </c>
      <c r="B43" s="217" t="s">
        <v>314</v>
      </c>
      <c r="C43" s="218">
        <f t="shared" si="9"/>
        <v>77780</v>
      </c>
      <c r="D43" s="218">
        <v>200</v>
      </c>
      <c r="E43" s="218">
        <f t="shared" si="10"/>
        <v>77580</v>
      </c>
      <c r="F43" s="218">
        <f>12479+32822+20200</f>
        <v>65501</v>
      </c>
      <c r="G43" s="218"/>
      <c r="H43" s="218">
        <f>300+6706+40+33+5000</f>
        <v>12079</v>
      </c>
      <c r="I43" s="218"/>
      <c r="J43" s="218"/>
      <c r="K43" s="218">
        <f t="shared" si="7"/>
        <v>0</v>
      </c>
      <c r="L43" s="218"/>
      <c r="M43" s="218"/>
      <c r="N43" s="218">
        <f t="shared" si="12"/>
        <v>227690.94387999998</v>
      </c>
      <c r="O43" s="218">
        <v>131443.03610699999</v>
      </c>
      <c r="P43" s="221">
        <f t="shared" si="11"/>
        <v>96247.907772999999</v>
      </c>
      <c r="Q43" s="218">
        <f>25483+70764.907773</f>
        <v>96247.907772999999</v>
      </c>
      <c r="R43" s="218"/>
      <c r="S43" s="218"/>
      <c r="T43" s="218"/>
      <c r="U43" s="218">
        <f t="shared" si="14"/>
        <v>0</v>
      </c>
      <c r="V43" s="218"/>
      <c r="W43" s="218"/>
      <c r="X43" s="218"/>
      <c r="Y43" s="218"/>
      <c r="Z43" s="218"/>
      <c r="AA43" s="218"/>
      <c r="AB43" s="219">
        <f t="shared" si="13"/>
        <v>292.73713535613268</v>
      </c>
      <c r="AC43" s="219">
        <f t="shared" si="13"/>
        <v>65721.518053499996</v>
      </c>
      <c r="AD43" s="219">
        <f t="shared" si="4"/>
        <v>124.06278393013663</v>
      </c>
      <c r="AE43" s="219"/>
    </row>
    <row r="44" spans="1:31" s="16" customFormat="1" ht="24.75" customHeight="1" x14ac:dyDescent="0.25">
      <c r="A44" s="65" t="s">
        <v>315</v>
      </c>
      <c r="B44" s="72" t="s">
        <v>525</v>
      </c>
      <c r="C44" s="67">
        <f t="shared" si="9"/>
        <v>37006.324000000001</v>
      </c>
      <c r="D44" s="67">
        <v>301.32400000000001</v>
      </c>
      <c r="E44" s="67">
        <f t="shared" si="10"/>
        <v>36705</v>
      </c>
      <c r="F44" s="67">
        <v>32570</v>
      </c>
      <c r="G44" s="67"/>
      <c r="H44" s="67">
        <f>1274+92+2769</f>
        <v>4135</v>
      </c>
      <c r="I44" s="67"/>
      <c r="J44" s="67"/>
      <c r="K44" s="67">
        <f t="shared" si="7"/>
        <v>0</v>
      </c>
      <c r="L44" s="67"/>
      <c r="M44" s="67"/>
      <c r="N44" s="67">
        <f t="shared" si="12"/>
        <v>38634.062796999999</v>
      </c>
      <c r="O44" s="67">
        <v>95.323999999999998</v>
      </c>
      <c r="P44" s="68">
        <f t="shared" si="11"/>
        <v>38538.738796999998</v>
      </c>
      <c r="Q44" s="67">
        <v>38538.738796999998</v>
      </c>
      <c r="R44" s="67"/>
      <c r="S44" s="67"/>
      <c r="T44" s="67"/>
      <c r="U44" s="67">
        <f t="shared" si="14"/>
        <v>0</v>
      </c>
      <c r="V44" s="67"/>
      <c r="W44" s="67"/>
      <c r="X44" s="67"/>
      <c r="Y44" s="67"/>
      <c r="Z44" s="67"/>
      <c r="AA44" s="67"/>
      <c r="AB44" s="69">
        <f t="shared" si="13"/>
        <v>104.39854225185944</v>
      </c>
      <c r="AC44" s="69">
        <f t="shared" si="13"/>
        <v>31.635050643161513</v>
      </c>
      <c r="AD44" s="69">
        <f t="shared" si="4"/>
        <v>104.99588284157471</v>
      </c>
      <c r="AE44" s="69"/>
    </row>
    <row r="45" spans="1:31" s="16" customFormat="1" ht="24.75" customHeight="1" x14ac:dyDescent="0.25">
      <c r="A45" s="65" t="s">
        <v>316</v>
      </c>
      <c r="B45" s="72" t="s">
        <v>526</v>
      </c>
      <c r="C45" s="67">
        <f t="shared" si="9"/>
        <v>685</v>
      </c>
      <c r="D45" s="67"/>
      <c r="E45" s="67">
        <f t="shared" si="10"/>
        <v>685</v>
      </c>
      <c r="F45" s="67">
        <v>685</v>
      </c>
      <c r="G45" s="67"/>
      <c r="H45" s="67"/>
      <c r="I45" s="67"/>
      <c r="J45" s="67"/>
      <c r="K45" s="67">
        <f t="shared" si="7"/>
        <v>0</v>
      </c>
      <c r="L45" s="67"/>
      <c r="M45" s="67"/>
      <c r="N45" s="67">
        <f t="shared" si="12"/>
        <v>562</v>
      </c>
      <c r="O45" s="67"/>
      <c r="P45" s="68">
        <f t="shared" si="11"/>
        <v>562</v>
      </c>
      <c r="Q45" s="67">
        <v>562</v>
      </c>
      <c r="R45" s="67"/>
      <c r="S45" s="67"/>
      <c r="T45" s="67"/>
      <c r="U45" s="67">
        <f t="shared" si="14"/>
        <v>0</v>
      </c>
      <c r="V45" s="67"/>
      <c r="W45" s="67"/>
      <c r="X45" s="67"/>
      <c r="Y45" s="67"/>
      <c r="Z45" s="67"/>
      <c r="AA45" s="67"/>
      <c r="AB45" s="69">
        <f t="shared" si="13"/>
        <v>82.043795620437962</v>
      </c>
      <c r="AC45" s="69"/>
      <c r="AD45" s="69">
        <f t="shared" si="4"/>
        <v>82.043795620437962</v>
      </c>
      <c r="AE45" s="69"/>
    </row>
    <row r="46" spans="1:31" s="16" customFormat="1" ht="33.75" customHeight="1" x14ac:dyDescent="0.25">
      <c r="A46" s="65" t="s">
        <v>318</v>
      </c>
      <c r="B46" s="72" t="s">
        <v>317</v>
      </c>
      <c r="C46" s="67">
        <f t="shared" si="9"/>
        <v>436</v>
      </c>
      <c r="D46" s="67"/>
      <c r="E46" s="67">
        <f t="shared" si="10"/>
        <v>436</v>
      </c>
      <c r="F46" s="67">
        <v>436</v>
      </c>
      <c r="G46" s="67"/>
      <c r="H46" s="67"/>
      <c r="I46" s="67"/>
      <c r="J46" s="67"/>
      <c r="K46" s="67">
        <f t="shared" si="7"/>
        <v>0</v>
      </c>
      <c r="L46" s="67"/>
      <c r="M46" s="67"/>
      <c r="N46" s="67">
        <f t="shared" si="12"/>
        <v>438.05399999999997</v>
      </c>
      <c r="O46" s="67"/>
      <c r="P46" s="68">
        <f t="shared" si="11"/>
        <v>438.05399999999997</v>
      </c>
      <c r="Q46" s="67">
        <v>438.05399999999997</v>
      </c>
      <c r="R46" s="67"/>
      <c r="S46" s="67"/>
      <c r="T46" s="67"/>
      <c r="U46" s="67">
        <f t="shared" si="14"/>
        <v>0</v>
      </c>
      <c r="V46" s="67"/>
      <c r="W46" s="67"/>
      <c r="X46" s="67"/>
      <c r="Y46" s="67"/>
      <c r="Z46" s="67"/>
      <c r="AA46" s="67"/>
      <c r="AB46" s="69">
        <f t="shared" si="13"/>
        <v>100.47110091743117</v>
      </c>
      <c r="AC46" s="69"/>
      <c r="AD46" s="69">
        <f t="shared" si="4"/>
        <v>100.47110091743117</v>
      </c>
      <c r="AE46" s="69"/>
    </row>
    <row r="47" spans="1:31" s="16" customFormat="1" ht="24.75" customHeight="1" x14ac:dyDescent="0.25">
      <c r="A47" s="65" t="s">
        <v>320</v>
      </c>
      <c r="B47" s="72" t="s">
        <v>319</v>
      </c>
      <c r="C47" s="67">
        <f t="shared" si="9"/>
        <v>526</v>
      </c>
      <c r="D47" s="67"/>
      <c r="E47" s="67">
        <f t="shared" si="10"/>
        <v>526</v>
      </c>
      <c r="F47" s="67">
        <v>526</v>
      </c>
      <c r="G47" s="67"/>
      <c r="H47" s="67"/>
      <c r="I47" s="67"/>
      <c r="J47" s="67"/>
      <c r="K47" s="67">
        <f t="shared" si="7"/>
        <v>0</v>
      </c>
      <c r="L47" s="67"/>
      <c r="M47" s="67"/>
      <c r="N47" s="67">
        <f t="shared" si="12"/>
        <v>466.00128100000001</v>
      </c>
      <c r="O47" s="67"/>
      <c r="P47" s="68">
        <f t="shared" si="11"/>
        <v>466.00128100000001</v>
      </c>
      <c r="Q47" s="67">
        <v>466.00128100000001</v>
      </c>
      <c r="R47" s="67"/>
      <c r="S47" s="67"/>
      <c r="T47" s="67"/>
      <c r="U47" s="67">
        <f t="shared" si="14"/>
        <v>0</v>
      </c>
      <c r="V47" s="67"/>
      <c r="W47" s="67"/>
      <c r="X47" s="67"/>
      <c r="Y47" s="67"/>
      <c r="Z47" s="67"/>
      <c r="AA47" s="67"/>
      <c r="AB47" s="69">
        <f t="shared" si="13"/>
        <v>88.593399429657794</v>
      </c>
      <c r="AC47" s="69"/>
      <c r="AD47" s="69">
        <f t="shared" si="4"/>
        <v>88.593399429657794</v>
      </c>
      <c r="AE47" s="69"/>
    </row>
    <row r="48" spans="1:31" s="16" customFormat="1" ht="24.75" customHeight="1" x14ac:dyDescent="0.25">
      <c r="A48" s="65" t="s">
        <v>322</v>
      </c>
      <c r="B48" s="72" t="s">
        <v>321</v>
      </c>
      <c r="C48" s="67">
        <f t="shared" si="9"/>
        <v>345</v>
      </c>
      <c r="D48" s="67"/>
      <c r="E48" s="67">
        <f t="shared" si="10"/>
        <v>345</v>
      </c>
      <c r="F48" s="67">
        <v>345</v>
      </c>
      <c r="G48" s="67"/>
      <c r="H48" s="67"/>
      <c r="I48" s="67"/>
      <c r="J48" s="67"/>
      <c r="K48" s="67">
        <f t="shared" si="7"/>
        <v>0</v>
      </c>
      <c r="L48" s="67"/>
      <c r="M48" s="67"/>
      <c r="N48" s="67">
        <f t="shared" si="12"/>
        <v>377</v>
      </c>
      <c r="O48" s="67"/>
      <c r="P48" s="68">
        <f t="shared" si="11"/>
        <v>377</v>
      </c>
      <c r="Q48" s="67">
        <v>377</v>
      </c>
      <c r="R48" s="67"/>
      <c r="S48" s="67"/>
      <c r="T48" s="67"/>
      <c r="U48" s="67">
        <f t="shared" si="14"/>
        <v>0</v>
      </c>
      <c r="V48" s="67"/>
      <c r="W48" s="67"/>
      <c r="X48" s="67"/>
      <c r="Y48" s="67"/>
      <c r="Z48" s="67"/>
      <c r="AA48" s="67"/>
      <c r="AB48" s="69">
        <f t="shared" si="13"/>
        <v>109.27536231884058</v>
      </c>
      <c r="AC48" s="69"/>
      <c r="AD48" s="69">
        <f t="shared" si="4"/>
        <v>109.27536231884058</v>
      </c>
      <c r="AE48" s="69"/>
    </row>
    <row r="49" spans="1:31" s="16" customFormat="1" ht="24.75" customHeight="1" x14ac:dyDescent="0.25">
      <c r="A49" s="65" t="s">
        <v>324</v>
      </c>
      <c r="B49" s="72" t="s">
        <v>323</v>
      </c>
      <c r="C49" s="67">
        <f t="shared" si="9"/>
        <v>90</v>
      </c>
      <c r="D49" s="67"/>
      <c r="E49" s="67">
        <f t="shared" si="10"/>
        <v>90</v>
      </c>
      <c r="F49" s="67">
        <v>90</v>
      </c>
      <c r="G49" s="67"/>
      <c r="H49" s="67"/>
      <c r="I49" s="67"/>
      <c r="J49" s="67"/>
      <c r="K49" s="67">
        <f t="shared" si="7"/>
        <v>0</v>
      </c>
      <c r="L49" s="67"/>
      <c r="M49" s="67"/>
      <c r="N49" s="67">
        <f t="shared" si="12"/>
        <v>81</v>
      </c>
      <c r="O49" s="67"/>
      <c r="P49" s="68">
        <f t="shared" si="11"/>
        <v>81</v>
      </c>
      <c r="Q49" s="67">
        <v>81</v>
      </c>
      <c r="R49" s="67"/>
      <c r="S49" s="67"/>
      <c r="T49" s="67"/>
      <c r="U49" s="67">
        <f t="shared" si="14"/>
        <v>0</v>
      </c>
      <c r="V49" s="67"/>
      <c r="W49" s="67"/>
      <c r="X49" s="67"/>
      <c r="Y49" s="67"/>
      <c r="Z49" s="67"/>
      <c r="AA49" s="67"/>
      <c r="AB49" s="69">
        <f t="shared" si="13"/>
        <v>90</v>
      </c>
      <c r="AC49" s="69"/>
      <c r="AD49" s="69">
        <f t="shared" si="4"/>
        <v>90</v>
      </c>
      <c r="AE49" s="69"/>
    </row>
    <row r="50" spans="1:31" s="16" customFormat="1" ht="24.75" customHeight="1" x14ac:dyDescent="0.25">
      <c r="A50" s="65" t="s">
        <v>326</v>
      </c>
      <c r="B50" s="72" t="s">
        <v>325</v>
      </c>
      <c r="C50" s="67">
        <f t="shared" si="9"/>
        <v>898</v>
      </c>
      <c r="D50" s="67"/>
      <c r="E50" s="67">
        <f t="shared" si="10"/>
        <v>898</v>
      </c>
      <c r="F50" s="67">
        <v>898</v>
      </c>
      <c r="G50" s="67"/>
      <c r="H50" s="67"/>
      <c r="I50" s="67"/>
      <c r="J50" s="67"/>
      <c r="K50" s="67">
        <f t="shared" si="7"/>
        <v>0</v>
      </c>
      <c r="L50" s="67"/>
      <c r="M50" s="67"/>
      <c r="N50" s="67">
        <f t="shared" si="12"/>
        <v>639.33696999999995</v>
      </c>
      <c r="O50" s="67"/>
      <c r="P50" s="68">
        <f t="shared" si="11"/>
        <v>639.33696999999995</v>
      </c>
      <c r="Q50" s="67">
        <v>639.33696999999995</v>
      </c>
      <c r="R50" s="67"/>
      <c r="S50" s="67"/>
      <c r="T50" s="67"/>
      <c r="U50" s="67">
        <f t="shared" si="14"/>
        <v>0</v>
      </c>
      <c r="V50" s="67"/>
      <c r="W50" s="67"/>
      <c r="X50" s="67"/>
      <c r="Y50" s="67"/>
      <c r="Z50" s="67"/>
      <c r="AA50" s="67"/>
      <c r="AB50" s="69">
        <f t="shared" si="13"/>
        <v>71.195653674832954</v>
      </c>
      <c r="AC50" s="69"/>
      <c r="AD50" s="69">
        <f t="shared" si="4"/>
        <v>71.195653674832954</v>
      </c>
      <c r="AE50" s="69"/>
    </row>
    <row r="51" spans="1:31" s="16" customFormat="1" ht="34.5" customHeight="1" x14ac:dyDescent="0.25">
      <c r="A51" s="65" t="s">
        <v>328</v>
      </c>
      <c r="B51" s="72" t="s">
        <v>327</v>
      </c>
      <c r="C51" s="67">
        <f t="shared" si="9"/>
        <v>1745</v>
      </c>
      <c r="D51" s="67"/>
      <c r="E51" s="67">
        <f t="shared" si="10"/>
        <v>1745</v>
      </c>
      <c r="F51" s="67">
        <v>1745</v>
      </c>
      <c r="G51" s="67"/>
      <c r="H51" s="67"/>
      <c r="I51" s="67"/>
      <c r="J51" s="67"/>
      <c r="K51" s="67">
        <f t="shared" si="7"/>
        <v>0</v>
      </c>
      <c r="L51" s="67"/>
      <c r="M51" s="67"/>
      <c r="N51" s="67">
        <f t="shared" si="12"/>
        <v>1715.684825</v>
      </c>
      <c r="O51" s="67"/>
      <c r="P51" s="68">
        <f t="shared" si="11"/>
        <v>1715.684825</v>
      </c>
      <c r="Q51" s="67">
        <v>1715.684825</v>
      </c>
      <c r="R51" s="67"/>
      <c r="S51" s="67"/>
      <c r="T51" s="67"/>
      <c r="U51" s="67">
        <f t="shared" si="14"/>
        <v>0</v>
      </c>
      <c r="V51" s="67"/>
      <c r="W51" s="67"/>
      <c r="X51" s="67"/>
      <c r="Y51" s="67"/>
      <c r="Z51" s="67"/>
      <c r="AA51" s="67"/>
      <c r="AB51" s="69">
        <f t="shared" si="13"/>
        <v>98.320047277936965</v>
      </c>
      <c r="AC51" s="69"/>
      <c r="AD51" s="69">
        <f t="shared" si="4"/>
        <v>98.320047277936965</v>
      </c>
      <c r="AE51" s="69"/>
    </row>
    <row r="52" spans="1:31" s="16" customFormat="1" ht="24.75" customHeight="1" x14ac:dyDescent="0.25">
      <c r="A52" s="65" t="s">
        <v>330</v>
      </c>
      <c r="B52" s="72" t="s">
        <v>329</v>
      </c>
      <c r="C52" s="67">
        <f t="shared" si="9"/>
        <v>322</v>
      </c>
      <c r="D52" s="67"/>
      <c r="E52" s="67">
        <f t="shared" si="10"/>
        <v>322</v>
      </c>
      <c r="F52" s="67">
        <v>322</v>
      </c>
      <c r="G52" s="67"/>
      <c r="H52" s="67"/>
      <c r="I52" s="67"/>
      <c r="J52" s="67"/>
      <c r="K52" s="67">
        <f t="shared" si="7"/>
        <v>0</v>
      </c>
      <c r="L52" s="67"/>
      <c r="M52" s="67"/>
      <c r="N52" s="67">
        <f t="shared" si="12"/>
        <v>299</v>
      </c>
      <c r="O52" s="67"/>
      <c r="P52" s="68">
        <f t="shared" si="11"/>
        <v>299</v>
      </c>
      <c r="Q52" s="67">
        <v>299</v>
      </c>
      <c r="R52" s="67"/>
      <c r="S52" s="67"/>
      <c r="T52" s="67"/>
      <c r="U52" s="67">
        <f t="shared" si="14"/>
        <v>0</v>
      </c>
      <c r="V52" s="67"/>
      <c r="W52" s="67"/>
      <c r="X52" s="67"/>
      <c r="Y52" s="67"/>
      <c r="Z52" s="67"/>
      <c r="AA52" s="67"/>
      <c r="AB52" s="69">
        <f t="shared" si="13"/>
        <v>92.857142857142847</v>
      </c>
      <c r="AC52" s="69"/>
      <c r="AD52" s="69">
        <f t="shared" si="4"/>
        <v>92.857142857142847</v>
      </c>
      <c r="AE52" s="69"/>
    </row>
    <row r="53" spans="1:31" s="16" customFormat="1" ht="24.75" customHeight="1" x14ac:dyDescent="0.25">
      <c r="A53" s="65" t="s">
        <v>332</v>
      </c>
      <c r="B53" s="72" t="s">
        <v>331</v>
      </c>
      <c r="C53" s="67">
        <f t="shared" si="9"/>
        <v>1291</v>
      </c>
      <c r="D53" s="67"/>
      <c r="E53" s="67">
        <f t="shared" si="10"/>
        <v>1291</v>
      </c>
      <c r="F53" s="67">
        <v>1291</v>
      </c>
      <c r="G53" s="67"/>
      <c r="H53" s="67"/>
      <c r="I53" s="67"/>
      <c r="J53" s="67"/>
      <c r="K53" s="67">
        <f t="shared" si="7"/>
        <v>0</v>
      </c>
      <c r="L53" s="67"/>
      <c r="M53" s="67"/>
      <c r="N53" s="67">
        <f t="shared" si="12"/>
        <v>1020.065339</v>
      </c>
      <c r="O53" s="67"/>
      <c r="P53" s="68">
        <f t="shared" si="11"/>
        <v>1020.065339</v>
      </c>
      <c r="Q53" s="67">
        <v>1020.065339</v>
      </c>
      <c r="R53" s="67"/>
      <c r="S53" s="67"/>
      <c r="T53" s="67"/>
      <c r="U53" s="67">
        <f t="shared" si="14"/>
        <v>0</v>
      </c>
      <c r="V53" s="67"/>
      <c r="W53" s="67"/>
      <c r="X53" s="67"/>
      <c r="Y53" s="67"/>
      <c r="Z53" s="67"/>
      <c r="AA53" s="67"/>
      <c r="AB53" s="69">
        <f t="shared" si="13"/>
        <v>79.013581642137879</v>
      </c>
      <c r="AC53" s="69"/>
      <c r="AD53" s="69">
        <f t="shared" si="4"/>
        <v>79.013581642137879</v>
      </c>
      <c r="AE53" s="69"/>
    </row>
    <row r="54" spans="1:31" s="16" customFormat="1" ht="24.75" customHeight="1" x14ac:dyDescent="0.25">
      <c r="A54" s="65" t="s">
        <v>334</v>
      </c>
      <c r="B54" s="72" t="s">
        <v>333</v>
      </c>
      <c r="C54" s="67">
        <f t="shared" si="9"/>
        <v>118</v>
      </c>
      <c r="D54" s="67"/>
      <c r="E54" s="67">
        <f t="shared" si="10"/>
        <v>118</v>
      </c>
      <c r="F54" s="67">
        <v>118</v>
      </c>
      <c r="G54" s="67"/>
      <c r="H54" s="67"/>
      <c r="I54" s="67"/>
      <c r="J54" s="67"/>
      <c r="K54" s="67">
        <f t="shared" si="7"/>
        <v>0</v>
      </c>
      <c r="L54" s="67"/>
      <c r="M54" s="67"/>
      <c r="N54" s="67">
        <f t="shared" si="12"/>
        <v>235.8323</v>
      </c>
      <c r="O54" s="67"/>
      <c r="P54" s="68">
        <f t="shared" si="11"/>
        <v>235.8323</v>
      </c>
      <c r="Q54" s="67">
        <v>235.8323</v>
      </c>
      <c r="R54" s="67"/>
      <c r="S54" s="67"/>
      <c r="T54" s="67"/>
      <c r="U54" s="67">
        <f t="shared" si="14"/>
        <v>0</v>
      </c>
      <c r="V54" s="67"/>
      <c r="W54" s="67"/>
      <c r="X54" s="67"/>
      <c r="Y54" s="67"/>
      <c r="Z54" s="67"/>
      <c r="AA54" s="67"/>
      <c r="AB54" s="69">
        <f t="shared" si="13"/>
        <v>199.85788135593222</v>
      </c>
      <c r="AC54" s="69"/>
      <c r="AD54" s="69">
        <f t="shared" si="4"/>
        <v>199.85788135593222</v>
      </c>
      <c r="AE54" s="69"/>
    </row>
    <row r="55" spans="1:31" s="16" customFormat="1" ht="24.75" customHeight="1" x14ac:dyDescent="0.25">
      <c r="A55" s="65" t="s">
        <v>336</v>
      </c>
      <c r="B55" s="72" t="s">
        <v>335</v>
      </c>
      <c r="C55" s="67">
        <f t="shared" si="9"/>
        <v>43</v>
      </c>
      <c r="D55" s="67"/>
      <c r="E55" s="67">
        <f t="shared" si="10"/>
        <v>43</v>
      </c>
      <c r="F55" s="67">
        <v>43</v>
      </c>
      <c r="G55" s="67"/>
      <c r="H55" s="67"/>
      <c r="I55" s="67"/>
      <c r="J55" s="67"/>
      <c r="K55" s="67">
        <f t="shared" si="7"/>
        <v>0</v>
      </c>
      <c r="L55" s="67"/>
      <c r="M55" s="67"/>
      <c r="N55" s="67">
        <f t="shared" si="12"/>
        <v>0.10290000000000001</v>
      </c>
      <c r="O55" s="67"/>
      <c r="P55" s="68">
        <f t="shared" si="11"/>
        <v>0.10290000000000001</v>
      </c>
      <c r="Q55" s="67">
        <f>102900/1000000</f>
        <v>0.10290000000000001</v>
      </c>
      <c r="R55" s="67"/>
      <c r="S55" s="67"/>
      <c r="T55" s="67"/>
      <c r="U55" s="67">
        <f t="shared" si="14"/>
        <v>0</v>
      </c>
      <c r="V55" s="67"/>
      <c r="W55" s="67"/>
      <c r="X55" s="67"/>
      <c r="Y55" s="67"/>
      <c r="Z55" s="67"/>
      <c r="AA55" s="67"/>
      <c r="AB55" s="69">
        <f t="shared" si="13"/>
        <v>0.23930232558139536</v>
      </c>
      <c r="AC55" s="69"/>
      <c r="AD55" s="69">
        <f t="shared" si="4"/>
        <v>0.23930232558139536</v>
      </c>
      <c r="AE55" s="69"/>
    </row>
    <row r="56" spans="1:31" s="16" customFormat="1" ht="24.75" customHeight="1" x14ac:dyDescent="0.25">
      <c r="A56" s="65" t="s">
        <v>338</v>
      </c>
      <c r="B56" s="72" t="s">
        <v>337</v>
      </c>
      <c r="C56" s="67">
        <f t="shared" si="9"/>
        <v>383</v>
      </c>
      <c r="D56" s="67"/>
      <c r="E56" s="67">
        <f t="shared" si="10"/>
        <v>383</v>
      </c>
      <c r="F56" s="67">
        <v>383</v>
      </c>
      <c r="G56" s="67"/>
      <c r="H56" s="67"/>
      <c r="I56" s="67"/>
      <c r="J56" s="67"/>
      <c r="K56" s="67">
        <f t="shared" si="7"/>
        <v>0</v>
      </c>
      <c r="L56" s="67"/>
      <c r="M56" s="67"/>
      <c r="N56" s="67">
        <f t="shared" si="12"/>
        <v>356</v>
      </c>
      <c r="O56" s="67"/>
      <c r="P56" s="68">
        <f t="shared" si="11"/>
        <v>356</v>
      </c>
      <c r="Q56" s="67">
        <v>356</v>
      </c>
      <c r="R56" s="67"/>
      <c r="S56" s="67"/>
      <c r="T56" s="67"/>
      <c r="U56" s="67">
        <f t="shared" si="14"/>
        <v>0</v>
      </c>
      <c r="V56" s="67"/>
      <c r="W56" s="67"/>
      <c r="X56" s="67"/>
      <c r="Y56" s="67"/>
      <c r="Z56" s="67"/>
      <c r="AA56" s="67"/>
      <c r="AB56" s="69">
        <f t="shared" si="13"/>
        <v>92.95039164490862</v>
      </c>
      <c r="AC56" s="69"/>
      <c r="AD56" s="69">
        <f t="shared" si="4"/>
        <v>92.95039164490862</v>
      </c>
      <c r="AE56" s="69"/>
    </row>
    <row r="57" spans="1:31" s="16" customFormat="1" ht="24.75" customHeight="1" x14ac:dyDescent="0.25">
      <c r="A57" s="65" t="s">
        <v>389</v>
      </c>
      <c r="B57" s="66" t="s">
        <v>339</v>
      </c>
      <c r="C57" s="67">
        <f t="shared" si="9"/>
        <v>2003</v>
      </c>
      <c r="D57" s="67"/>
      <c r="E57" s="67">
        <f t="shared" si="10"/>
        <v>2003</v>
      </c>
      <c r="F57" s="67">
        <v>2003</v>
      </c>
      <c r="G57" s="67"/>
      <c r="H57" s="67"/>
      <c r="I57" s="67"/>
      <c r="J57" s="67"/>
      <c r="K57" s="67">
        <f t="shared" si="7"/>
        <v>0</v>
      </c>
      <c r="L57" s="67"/>
      <c r="M57" s="67"/>
      <c r="N57" s="67">
        <f t="shared" si="12"/>
        <v>1818.7662339999999</v>
      </c>
      <c r="O57" s="67"/>
      <c r="P57" s="68">
        <f t="shared" si="11"/>
        <v>1818.7662339999999</v>
      </c>
      <c r="Q57" s="67">
        <v>1818.7662339999999</v>
      </c>
      <c r="R57" s="67"/>
      <c r="S57" s="67"/>
      <c r="T57" s="67"/>
      <c r="U57" s="67">
        <f t="shared" si="14"/>
        <v>0</v>
      </c>
      <c r="V57" s="67"/>
      <c r="W57" s="67"/>
      <c r="X57" s="67"/>
      <c r="Y57" s="67"/>
      <c r="Z57" s="67"/>
      <c r="AA57" s="67"/>
      <c r="AB57" s="69">
        <f t="shared" si="13"/>
        <v>90.802108537194201</v>
      </c>
      <c r="AC57" s="69"/>
      <c r="AD57" s="69">
        <f t="shared" si="4"/>
        <v>90.802108537194201</v>
      </c>
      <c r="AE57" s="69"/>
    </row>
    <row r="58" spans="1:31" s="16" customFormat="1" ht="24.75" customHeight="1" x14ac:dyDescent="0.25">
      <c r="A58" s="65" t="s">
        <v>390</v>
      </c>
      <c r="B58" s="66" t="s">
        <v>340</v>
      </c>
      <c r="C58" s="67">
        <f t="shared" si="9"/>
        <v>1789</v>
      </c>
      <c r="D58" s="67"/>
      <c r="E58" s="67">
        <f t="shared" si="10"/>
        <v>1789</v>
      </c>
      <c r="F58" s="67">
        <v>1789</v>
      </c>
      <c r="G58" s="67"/>
      <c r="H58" s="67"/>
      <c r="I58" s="67"/>
      <c r="J58" s="67"/>
      <c r="K58" s="67">
        <f t="shared" si="7"/>
        <v>0</v>
      </c>
      <c r="L58" s="67"/>
      <c r="M58" s="67"/>
      <c r="N58" s="67">
        <f t="shared" si="12"/>
        <v>1873.4768469999999</v>
      </c>
      <c r="O58" s="67"/>
      <c r="P58" s="68">
        <f t="shared" si="11"/>
        <v>1873.4768469999999</v>
      </c>
      <c r="Q58" s="67">
        <v>1873.4768469999999</v>
      </c>
      <c r="R58" s="67"/>
      <c r="S58" s="67"/>
      <c r="T58" s="67"/>
      <c r="U58" s="67">
        <f t="shared" si="14"/>
        <v>0</v>
      </c>
      <c r="V58" s="67"/>
      <c r="W58" s="67"/>
      <c r="X58" s="67"/>
      <c r="Y58" s="67"/>
      <c r="Z58" s="67"/>
      <c r="AA58" s="67"/>
      <c r="AB58" s="69">
        <f t="shared" si="13"/>
        <v>104.72201492453884</v>
      </c>
      <c r="AC58" s="69"/>
      <c r="AD58" s="69">
        <f t="shared" si="4"/>
        <v>104.72201492453884</v>
      </c>
      <c r="AE58" s="69"/>
    </row>
    <row r="59" spans="1:31" s="16" customFormat="1" ht="24.75" customHeight="1" x14ac:dyDescent="0.25">
      <c r="A59" s="65" t="s">
        <v>391</v>
      </c>
      <c r="B59" s="72" t="s">
        <v>341</v>
      </c>
      <c r="C59" s="67">
        <f t="shared" si="9"/>
        <v>208</v>
      </c>
      <c r="D59" s="67"/>
      <c r="E59" s="67">
        <f t="shared" si="10"/>
        <v>208</v>
      </c>
      <c r="F59" s="67">
        <v>208</v>
      </c>
      <c r="G59" s="67"/>
      <c r="H59" s="67"/>
      <c r="I59" s="67"/>
      <c r="J59" s="67"/>
      <c r="K59" s="67">
        <f t="shared" si="7"/>
        <v>0</v>
      </c>
      <c r="L59" s="67"/>
      <c r="M59" s="67"/>
      <c r="N59" s="67">
        <f t="shared" si="12"/>
        <v>0</v>
      </c>
      <c r="O59" s="67"/>
      <c r="P59" s="68">
        <f t="shared" si="11"/>
        <v>0</v>
      </c>
      <c r="Q59" s="67"/>
      <c r="R59" s="67"/>
      <c r="S59" s="67"/>
      <c r="T59" s="67"/>
      <c r="U59" s="67">
        <f t="shared" si="14"/>
        <v>0</v>
      </c>
      <c r="V59" s="67"/>
      <c r="W59" s="67"/>
      <c r="X59" s="67"/>
      <c r="Y59" s="67"/>
      <c r="Z59" s="67"/>
      <c r="AA59" s="67"/>
      <c r="AB59" s="69">
        <f t="shared" si="13"/>
        <v>0</v>
      </c>
      <c r="AC59" s="69"/>
      <c r="AD59" s="69">
        <f t="shared" si="4"/>
        <v>0</v>
      </c>
      <c r="AE59" s="69"/>
    </row>
    <row r="60" spans="1:31" s="16" customFormat="1" ht="24.75" customHeight="1" x14ac:dyDescent="0.25">
      <c r="A60" s="65" t="s">
        <v>392</v>
      </c>
      <c r="B60" s="72" t="s">
        <v>342</v>
      </c>
      <c r="C60" s="67">
        <f t="shared" si="9"/>
        <v>120</v>
      </c>
      <c r="D60" s="67"/>
      <c r="E60" s="67">
        <f t="shared" si="10"/>
        <v>120</v>
      </c>
      <c r="F60" s="67">
        <v>120</v>
      </c>
      <c r="G60" s="67"/>
      <c r="H60" s="67"/>
      <c r="I60" s="67"/>
      <c r="J60" s="67"/>
      <c r="K60" s="67">
        <f t="shared" si="7"/>
        <v>0</v>
      </c>
      <c r="L60" s="67"/>
      <c r="M60" s="67"/>
      <c r="N60" s="67">
        <f t="shared" si="12"/>
        <v>0</v>
      </c>
      <c r="O60" s="67"/>
      <c r="P60" s="68">
        <f t="shared" si="11"/>
        <v>0</v>
      </c>
      <c r="Q60" s="67"/>
      <c r="R60" s="67"/>
      <c r="S60" s="67"/>
      <c r="T60" s="67"/>
      <c r="U60" s="67">
        <f t="shared" si="14"/>
        <v>0</v>
      </c>
      <c r="V60" s="67"/>
      <c r="W60" s="67"/>
      <c r="X60" s="67"/>
      <c r="Y60" s="67"/>
      <c r="Z60" s="67"/>
      <c r="AA60" s="67"/>
      <c r="AB60" s="69">
        <f t="shared" si="13"/>
        <v>0</v>
      </c>
      <c r="AC60" s="69"/>
      <c r="AD60" s="69">
        <f t="shared" si="4"/>
        <v>0</v>
      </c>
      <c r="AE60" s="69"/>
    </row>
    <row r="61" spans="1:31" s="16" customFormat="1" ht="24.75" customHeight="1" x14ac:dyDescent="0.25">
      <c r="A61" s="65" t="s">
        <v>393</v>
      </c>
      <c r="B61" s="72" t="s">
        <v>527</v>
      </c>
      <c r="C61" s="67">
        <f t="shared" si="9"/>
        <v>20</v>
      </c>
      <c r="D61" s="67"/>
      <c r="E61" s="67">
        <f t="shared" si="10"/>
        <v>20</v>
      </c>
      <c r="F61" s="67">
        <v>20</v>
      </c>
      <c r="G61" s="67"/>
      <c r="H61" s="67"/>
      <c r="I61" s="67"/>
      <c r="J61" s="67"/>
      <c r="K61" s="67">
        <f t="shared" si="7"/>
        <v>0</v>
      </c>
      <c r="L61" s="67"/>
      <c r="M61" s="67"/>
      <c r="N61" s="67">
        <f t="shared" si="12"/>
        <v>0</v>
      </c>
      <c r="O61" s="67"/>
      <c r="P61" s="68">
        <f t="shared" si="11"/>
        <v>0</v>
      </c>
      <c r="Q61" s="67"/>
      <c r="R61" s="67"/>
      <c r="S61" s="67"/>
      <c r="T61" s="67"/>
      <c r="U61" s="67">
        <f t="shared" si="14"/>
        <v>0</v>
      </c>
      <c r="V61" s="67"/>
      <c r="W61" s="67"/>
      <c r="X61" s="67"/>
      <c r="Y61" s="67"/>
      <c r="Z61" s="67"/>
      <c r="AA61" s="67"/>
      <c r="AB61" s="69">
        <f t="shared" si="13"/>
        <v>0</v>
      </c>
      <c r="AC61" s="69"/>
      <c r="AD61" s="69">
        <f t="shared" si="4"/>
        <v>0</v>
      </c>
      <c r="AE61" s="69"/>
    </row>
    <row r="62" spans="1:31" s="16" customFormat="1" ht="24.75" customHeight="1" x14ac:dyDescent="0.25">
      <c r="A62" s="65" t="s">
        <v>394</v>
      </c>
      <c r="B62" s="75" t="s">
        <v>528</v>
      </c>
      <c r="C62" s="67">
        <f t="shared" si="9"/>
        <v>34</v>
      </c>
      <c r="D62" s="67"/>
      <c r="E62" s="67">
        <f t="shared" si="10"/>
        <v>34</v>
      </c>
      <c r="F62" s="67">
        <v>34</v>
      </c>
      <c r="G62" s="67"/>
      <c r="H62" s="67"/>
      <c r="I62" s="67"/>
      <c r="J62" s="67"/>
      <c r="K62" s="67">
        <f t="shared" si="7"/>
        <v>0</v>
      </c>
      <c r="L62" s="67"/>
      <c r="M62" s="67"/>
      <c r="N62" s="67">
        <f t="shared" si="12"/>
        <v>15.5</v>
      </c>
      <c r="O62" s="67"/>
      <c r="P62" s="68">
        <f t="shared" si="11"/>
        <v>15.5</v>
      </c>
      <c r="Q62" s="67">
        <v>15.5</v>
      </c>
      <c r="R62" s="67"/>
      <c r="S62" s="67"/>
      <c r="T62" s="67"/>
      <c r="U62" s="67">
        <f t="shared" si="14"/>
        <v>0</v>
      </c>
      <c r="V62" s="67"/>
      <c r="W62" s="67"/>
      <c r="X62" s="67"/>
      <c r="Y62" s="67"/>
      <c r="Z62" s="67"/>
      <c r="AA62" s="67"/>
      <c r="AB62" s="69">
        <f t="shared" si="13"/>
        <v>45.588235294117645</v>
      </c>
      <c r="AC62" s="69"/>
      <c r="AD62" s="69">
        <f t="shared" si="4"/>
        <v>45.588235294117645</v>
      </c>
      <c r="AE62" s="69"/>
    </row>
    <row r="63" spans="1:31" s="16" customFormat="1" ht="38.25" customHeight="1" x14ac:dyDescent="0.25">
      <c r="A63" s="65" t="s">
        <v>395</v>
      </c>
      <c r="B63" s="75" t="s">
        <v>344</v>
      </c>
      <c r="C63" s="67">
        <f t="shared" si="9"/>
        <v>65</v>
      </c>
      <c r="D63" s="67"/>
      <c r="E63" s="67">
        <f t="shared" si="10"/>
        <v>65</v>
      </c>
      <c r="F63" s="67">
        <v>65</v>
      </c>
      <c r="G63" s="67"/>
      <c r="H63" s="67"/>
      <c r="I63" s="67"/>
      <c r="J63" s="67"/>
      <c r="K63" s="67">
        <f t="shared" si="7"/>
        <v>0</v>
      </c>
      <c r="L63" s="67"/>
      <c r="M63" s="67"/>
      <c r="N63" s="67">
        <f t="shared" si="12"/>
        <v>64</v>
      </c>
      <c r="O63" s="67"/>
      <c r="P63" s="68">
        <f t="shared" si="11"/>
        <v>64</v>
      </c>
      <c r="Q63" s="67">
        <v>64</v>
      </c>
      <c r="R63" s="67"/>
      <c r="S63" s="67"/>
      <c r="T63" s="67"/>
      <c r="U63" s="67">
        <f t="shared" si="14"/>
        <v>0</v>
      </c>
      <c r="V63" s="67"/>
      <c r="W63" s="67"/>
      <c r="X63" s="67"/>
      <c r="Y63" s="67"/>
      <c r="Z63" s="67"/>
      <c r="AA63" s="67"/>
      <c r="AB63" s="69">
        <f t="shared" si="13"/>
        <v>98.461538461538453</v>
      </c>
      <c r="AC63" s="69"/>
      <c r="AD63" s="69">
        <f t="shared" si="4"/>
        <v>98.461538461538453</v>
      </c>
      <c r="AE63" s="69"/>
    </row>
    <row r="64" spans="1:31" s="16" customFormat="1" ht="45.75" customHeight="1" x14ac:dyDescent="0.25">
      <c r="A64" s="65" t="s">
        <v>396</v>
      </c>
      <c r="B64" s="75" t="s">
        <v>529</v>
      </c>
      <c r="C64" s="67">
        <f t="shared" si="9"/>
        <v>13000</v>
      </c>
      <c r="D64" s="67"/>
      <c r="E64" s="67">
        <f t="shared" si="10"/>
        <v>13000</v>
      </c>
      <c r="F64" s="67">
        <v>1500</v>
      </c>
      <c r="G64" s="67">
        <v>11500</v>
      </c>
      <c r="H64" s="67"/>
      <c r="I64" s="67"/>
      <c r="J64" s="67"/>
      <c r="K64" s="67">
        <f t="shared" si="7"/>
        <v>0</v>
      </c>
      <c r="L64" s="67"/>
      <c r="M64" s="67"/>
      <c r="N64" s="67">
        <f t="shared" si="12"/>
        <v>6843.9049770000001</v>
      </c>
      <c r="O64" s="67"/>
      <c r="P64" s="68">
        <f t="shared" si="11"/>
        <v>6843.9049770000001</v>
      </c>
      <c r="Q64" s="67">
        <v>6843.9049770000001</v>
      </c>
      <c r="R64" s="67"/>
      <c r="S64" s="67"/>
      <c r="T64" s="67"/>
      <c r="U64" s="67">
        <f t="shared" si="14"/>
        <v>0</v>
      </c>
      <c r="V64" s="67"/>
      <c r="W64" s="67"/>
      <c r="X64" s="67"/>
      <c r="Y64" s="67"/>
      <c r="Z64" s="67"/>
      <c r="AA64" s="67"/>
      <c r="AB64" s="69">
        <f t="shared" si="13"/>
        <v>52.6454229</v>
      </c>
      <c r="AC64" s="69"/>
      <c r="AD64" s="69">
        <f t="shared" si="4"/>
        <v>52.6454229</v>
      </c>
      <c r="AE64" s="69"/>
    </row>
    <row r="65" spans="1:31" s="16" customFormat="1" ht="24.75" customHeight="1" x14ac:dyDescent="0.25">
      <c r="A65" s="65" t="s">
        <v>397</v>
      </c>
      <c r="B65" s="75" t="s">
        <v>343</v>
      </c>
      <c r="C65" s="67">
        <f t="shared" si="9"/>
        <v>120</v>
      </c>
      <c r="D65" s="67"/>
      <c r="E65" s="67">
        <f t="shared" si="10"/>
        <v>120</v>
      </c>
      <c r="F65" s="67">
        <v>120</v>
      </c>
      <c r="G65" s="67"/>
      <c r="H65" s="67"/>
      <c r="I65" s="67"/>
      <c r="J65" s="67"/>
      <c r="K65" s="67">
        <f t="shared" si="7"/>
        <v>0</v>
      </c>
      <c r="L65" s="67"/>
      <c r="M65" s="67"/>
      <c r="N65" s="67">
        <f t="shared" si="12"/>
        <v>0</v>
      </c>
      <c r="O65" s="67"/>
      <c r="P65" s="68">
        <f t="shared" si="11"/>
        <v>0</v>
      </c>
      <c r="Q65" s="67"/>
      <c r="R65" s="67"/>
      <c r="S65" s="67"/>
      <c r="T65" s="67"/>
      <c r="U65" s="67">
        <f t="shared" si="14"/>
        <v>0</v>
      </c>
      <c r="V65" s="67"/>
      <c r="W65" s="67"/>
      <c r="X65" s="67"/>
      <c r="Y65" s="67"/>
      <c r="Z65" s="67"/>
      <c r="AA65" s="67"/>
      <c r="AB65" s="69">
        <f t="shared" si="13"/>
        <v>0</v>
      </c>
      <c r="AC65" s="69"/>
      <c r="AD65" s="69">
        <f t="shared" si="4"/>
        <v>0</v>
      </c>
      <c r="AE65" s="69"/>
    </row>
    <row r="66" spans="1:31" s="16" customFormat="1" ht="24.75" customHeight="1" x14ac:dyDescent="0.25">
      <c r="A66" s="65" t="s">
        <v>398</v>
      </c>
      <c r="B66" s="76" t="s">
        <v>530</v>
      </c>
      <c r="C66" s="67">
        <f t="shared" si="9"/>
        <v>120</v>
      </c>
      <c r="D66" s="67"/>
      <c r="E66" s="67">
        <f t="shared" si="10"/>
        <v>120</v>
      </c>
      <c r="F66" s="67">
        <v>120</v>
      </c>
      <c r="G66" s="67"/>
      <c r="H66" s="67"/>
      <c r="I66" s="67"/>
      <c r="J66" s="67"/>
      <c r="K66" s="67">
        <f t="shared" si="7"/>
        <v>0</v>
      </c>
      <c r="L66" s="67"/>
      <c r="M66" s="67"/>
      <c r="N66" s="67">
        <f t="shared" si="12"/>
        <v>0</v>
      </c>
      <c r="O66" s="67"/>
      <c r="P66" s="68">
        <f t="shared" si="11"/>
        <v>0</v>
      </c>
      <c r="Q66" s="67"/>
      <c r="R66" s="67"/>
      <c r="S66" s="67"/>
      <c r="T66" s="67"/>
      <c r="U66" s="67">
        <f t="shared" si="14"/>
        <v>0</v>
      </c>
      <c r="V66" s="67"/>
      <c r="W66" s="67"/>
      <c r="X66" s="67"/>
      <c r="Y66" s="67"/>
      <c r="Z66" s="67"/>
      <c r="AA66" s="67"/>
      <c r="AB66" s="69">
        <f t="shared" si="13"/>
        <v>0</v>
      </c>
      <c r="AC66" s="69"/>
      <c r="AD66" s="69">
        <f t="shared" si="4"/>
        <v>0</v>
      </c>
      <c r="AE66" s="69"/>
    </row>
    <row r="67" spans="1:31" s="16" customFormat="1" ht="24.75" customHeight="1" x14ac:dyDescent="0.25">
      <c r="A67" s="65" t="s">
        <v>399</v>
      </c>
      <c r="B67" s="75" t="s">
        <v>346</v>
      </c>
      <c r="C67" s="67">
        <f t="shared" si="9"/>
        <v>26502.079669999999</v>
      </c>
      <c r="D67" s="67">
        <v>26502.079669999999</v>
      </c>
      <c r="E67" s="67">
        <f t="shared" si="10"/>
        <v>0</v>
      </c>
      <c r="F67" s="67"/>
      <c r="G67" s="67"/>
      <c r="H67" s="67"/>
      <c r="I67" s="67"/>
      <c r="J67" s="67"/>
      <c r="K67" s="67">
        <f t="shared" si="7"/>
        <v>0</v>
      </c>
      <c r="L67" s="67"/>
      <c r="M67" s="67"/>
      <c r="N67" s="67">
        <f t="shared" si="12"/>
        <v>30685.516669999997</v>
      </c>
      <c r="O67" s="67">
        <v>30685.516669999997</v>
      </c>
      <c r="P67" s="68">
        <f t="shared" si="11"/>
        <v>0</v>
      </c>
      <c r="Q67" s="67"/>
      <c r="R67" s="67"/>
      <c r="S67" s="67"/>
      <c r="T67" s="67"/>
      <c r="U67" s="67">
        <f t="shared" si="14"/>
        <v>0</v>
      </c>
      <c r="V67" s="67"/>
      <c r="W67" s="67"/>
      <c r="X67" s="67"/>
      <c r="Y67" s="67"/>
      <c r="Z67" s="67"/>
      <c r="AA67" s="67"/>
      <c r="AB67" s="69">
        <f t="shared" si="13"/>
        <v>115.78531591517171</v>
      </c>
      <c r="AC67" s="69">
        <f t="shared" si="13"/>
        <v>115.78531591517171</v>
      </c>
      <c r="AD67" s="69"/>
      <c r="AE67" s="69"/>
    </row>
    <row r="68" spans="1:31" s="16" customFormat="1" ht="38.25" customHeight="1" x14ac:dyDescent="0.25">
      <c r="A68" s="65" t="s">
        <v>400</v>
      </c>
      <c r="B68" s="208" t="s">
        <v>345</v>
      </c>
      <c r="C68" s="67">
        <f t="shared" si="9"/>
        <v>554951.76</v>
      </c>
      <c r="D68" s="67">
        <v>554951.76</v>
      </c>
      <c r="E68" s="67">
        <f t="shared" si="10"/>
        <v>0</v>
      </c>
      <c r="F68" s="67"/>
      <c r="G68" s="67"/>
      <c r="H68" s="67"/>
      <c r="I68" s="67"/>
      <c r="J68" s="67"/>
      <c r="K68" s="67">
        <f t="shared" si="7"/>
        <v>0</v>
      </c>
      <c r="L68" s="67"/>
      <c r="M68" s="67"/>
      <c r="N68" s="67">
        <f t="shared" si="12"/>
        <v>509545.83216300001</v>
      </c>
      <c r="O68" s="67">
        <v>509545.83216300001</v>
      </c>
      <c r="P68" s="68">
        <f t="shared" si="11"/>
        <v>0</v>
      </c>
      <c r="Q68" s="67"/>
      <c r="R68" s="67"/>
      <c r="S68" s="67"/>
      <c r="T68" s="67"/>
      <c r="U68" s="67">
        <f t="shared" si="14"/>
        <v>0</v>
      </c>
      <c r="V68" s="67"/>
      <c r="W68" s="67"/>
      <c r="X68" s="67"/>
      <c r="Y68" s="67"/>
      <c r="Z68" s="67"/>
      <c r="AA68" s="67"/>
      <c r="AB68" s="69">
        <f t="shared" si="13"/>
        <v>91.818040574013139</v>
      </c>
      <c r="AC68" s="69">
        <f t="shared" si="13"/>
        <v>91.818040574013139</v>
      </c>
      <c r="AD68" s="69"/>
      <c r="AE68" s="69"/>
    </row>
    <row r="69" spans="1:31" s="16" customFormat="1" ht="34.5" customHeight="1" x14ac:dyDescent="0.25">
      <c r="A69" s="65" t="s">
        <v>401</v>
      </c>
      <c r="B69" s="77" t="s">
        <v>531</v>
      </c>
      <c r="C69" s="67">
        <f t="shared" si="9"/>
        <v>60935</v>
      </c>
      <c r="D69" s="67">
        <v>55791</v>
      </c>
      <c r="E69" s="67">
        <f t="shared" si="10"/>
        <v>5144</v>
      </c>
      <c r="F69" s="67"/>
      <c r="G69" s="67"/>
      <c r="H69" s="67">
        <v>5144</v>
      </c>
      <c r="I69" s="67"/>
      <c r="J69" s="67"/>
      <c r="K69" s="67">
        <f t="shared" si="7"/>
        <v>0</v>
      </c>
      <c r="L69" s="67"/>
      <c r="M69" s="67"/>
      <c r="N69" s="67">
        <f t="shared" si="12"/>
        <v>80562.348406000005</v>
      </c>
      <c r="O69" s="67">
        <v>46180.348406000005</v>
      </c>
      <c r="P69" s="68">
        <f t="shared" si="11"/>
        <v>34382</v>
      </c>
      <c r="Q69" s="67">
        <v>34382</v>
      </c>
      <c r="R69" s="67"/>
      <c r="S69" s="67"/>
      <c r="T69" s="67"/>
      <c r="U69" s="67">
        <f t="shared" si="14"/>
        <v>0</v>
      </c>
      <c r="V69" s="67"/>
      <c r="W69" s="67"/>
      <c r="X69" s="67"/>
      <c r="Y69" s="67"/>
      <c r="Z69" s="67"/>
      <c r="AA69" s="67"/>
      <c r="AB69" s="69">
        <f t="shared" si="13"/>
        <v>132.21030344793633</v>
      </c>
      <c r="AC69" s="69">
        <f t="shared" si="13"/>
        <v>82.773831632342151</v>
      </c>
      <c r="AD69" s="69">
        <f t="shared" si="4"/>
        <v>668.39035769828934</v>
      </c>
      <c r="AE69" s="69"/>
    </row>
    <row r="70" spans="1:31" s="16" customFormat="1" ht="39.75" customHeight="1" x14ac:dyDescent="0.25">
      <c r="A70" s="65" t="s">
        <v>402</v>
      </c>
      <c r="B70" s="78" t="s">
        <v>348</v>
      </c>
      <c r="C70" s="67">
        <f t="shared" si="9"/>
        <v>10650</v>
      </c>
      <c r="D70" s="67">
        <v>400</v>
      </c>
      <c r="E70" s="67">
        <f t="shared" si="10"/>
        <v>10250</v>
      </c>
      <c r="F70" s="67">
        <v>10250</v>
      </c>
      <c r="G70" s="67"/>
      <c r="H70" s="67"/>
      <c r="I70" s="67"/>
      <c r="J70" s="67"/>
      <c r="K70" s="67">
        <f t="shared" si="7"/>
        <v>0</v>
      </c>
      <c r="L70" s="67"/>
      <c r="M70" s="67"/>
      <c r="N70" s="67">
        <f t="shared" si="12"/>
        <v>400</v>
      </c>
      <c r="O70" s="67">
        <v>400</v>
      </c>
      <c r="P70" s="68">
        <f t="shared" si="11"/>
        <v>0</v>
      </c>
      <c r="Q70" s="67"/>
      <c r="R70" s="67"/>
      <c r="S70" s="67"/>
      <c r="T70" s="67"/>
      <c r="U70" s="67">
        <f t="shared" si="14"/>
        <v>0</v>
      </c>
      <c r="V70" s="67"/>
      <c r="W70" s="67"/>
      <c r="X70" s="67"/>
      <c r="Y70" s="67"/>
      <c r="Z70" s="67"/>
      <c r="AA70" s="67"/>
      <c r="AB70" s="69">
        <f t="shared" si="13"/>
        <v>3.755868544600939</v>
      </c>
      <c r="AC70" s="69">
        <f t="shared" si="13"/>
        <v>100</v>
      </c>
      <c r="AD70" s="69">
        <f t="shared" si="4"/>
        <v>0</v>
      </c>
      <c r="AE70" s="69"/>
    </row>
    <row r="71" spans="1:31" s="16" customFormat="1" ht="41.25" customHeight="1" x14ac:dyDescent="0.25">
      <c r="A71" s="65" t="s">
        <v>403</v>
      </c>
      <c r="B71" s="209" t="s">
        <v>347</v>
      </c>
      <c r="C71" s="67">
        <f t="shared" si="9"/>
        <v>2514</v>
      </c>
      <c r="D71" s="210">
        <v>2514</v>
      </c>
      <c r="E71" s="67">
        <f t="shared" si="10"/>
        <v>0</v>
      </c>
      <c r="F71" s="67"/>
      <c r="G71" s="67"/>
      <c r="H71" s="67"/>
      <c r="I71" s="67"/>
      <c r="J71" s="67"/>
      <c r="K71" s="67">
        <f t="shared" si="7"/>
        <v>0</v>
      </c>
      <c r="L71" s="67"/>
      <c r="M71" s="67"/>
      <c r="N71" s="67">
        <f t="shared" si="12"/>
        <v>2683.999984</v>
      </c>
      <c r="O71" s="67">
        <v>2683.999984</v>
      </c>
      <c r="P71" s="68">
        <f t="shared" si="11"/>
        <v>0</v>
      </c>
      <c r="Q71" s="67"/>
      <c r="R71" s="67"/>
      <c r="S71" s="67"/>
      <c r="T71" s="67"/>
      <c r="U71" s="67">
        <f t="shared" si="14"/>
        <v>0</v>
      </c>
      <c r="V71" s="67"/>
      <c r="W71" s="67"/>
      <c r="X71" s="67"/>
      <c r="Y71" s="67"/>
      <c r="Z71" s="67"/>
      <c r="AA71" s="67"/>
      <c r="AB71" s="69">
        <f t="shared" si="13"/>
        <v>106.76213142402545</v>
      </c>
      <c r="AC71" s="69">
        <f t="shared" si="13"/>
        <v>106.76213142402545</v>
      </c>
      <c r="AD71" s="69"/>
      <c r="AE71" s="69"/>
    </row>
    <row r="72" spans="1:31" s="16" customFormat="1" ht="41.25" customHeight="1" x14ac:dyDescent="0.25">
      <c r="A72" s="65" t="s">
        <v>404</v>
      </c>
      <c r="B72" s="75" t="s">
        <v>349</v>
      </c>
      <c r="C72" s="67">
        <f t="shared" si="9"/>
        <v>6593</v>
      </c>
      <c r="D72" s="67">
        <v>100</v>
      </c>
      <c r="E72" s="67">
        <f t="shared" si="10"/>
        <v>6493</v>
      </c>
      <c r="F72" s="67">
        <v>6493</v>
      </c>
      <c r="G72" s="67"/>
      <c r="H72" s="67"/>
      <c r="I72" s="67"/>
      <c r="J72" s="67"/>
      <c r="K72" s="67">
        <f t="shared" si="7"/>
        <v>0</v>
      </c>
      <c r="L72" s="67"/>
      <c r="M72" s="67"/>
      <c r="N72" s="67">
        <f t="shared" si="12"/>
        <v>7313.7618769999999</v>
      </c>
      <c r="O72" s="67">
        <v>32.51</v>
      </c>
      <c r="P72" s="68">
        <f t="shared" si="11"/>
        <v>7281.2518769999997</v>
      </c>
      <c r="Q72" s="67">
        <v>7281.2518769999997</v>
      </c>
      <c r="R72" s="67"/>
      <c r="S72" s="67"/>
      <c r="T72" s="67"/>
      <c r="U72" s="67">
        <f t="shared" si="14"/>
        <v>0</v>
      </c>
      <c r="V72" s="67"/>
      <c r="W72" s="67"/>
      <c r="X72" s="67"/>
      <c r="Y72" s="67"/>
      <c r="Z72" s="67"/>
      <c r="AA72" s="67"/>
      <c r="AB72" s="69">
        <f t="shared" si="13"/>
        <v>110.93222928863945</v>
      </c>
      <c r="AC72" s="69">
        <f t="shared" si="13"/>
        <v>32.51</v>
      </c>
      <c r="AD72" s="69">
        <f t="shared" si="4"/>
        <v>112.14002582781455</v>
      </c>
      <c r="AE72" s="69"/>
    </row>
    <row r="73" spans="1:31" s="16" customFormat="1" ht="39.75" customHeight="1" x14ac:dyDescent="0.25">
      <c r="A73" s="65" t="s">
        <v>405</v>
      </c>
      <c r="B73" s="208" t="s">
        <v>532</v>
      </c>
      <c r="C73" s="67">
        <f t="shared" si="9"/>
        <v>91182.8</v>
      </c>
      <c r="D73" s="67">
        <v>91182.8</v>
      </c>
      <c r="E73" s="67">
        <f t="shared" si="10"/>
        <v>0</v>
      </c>
      <c r="F73" s="67"/>
      <c r="G73" s="67"/>
      <c r="H73" s="67"/>
      <c r="I73" s="67"/>
      <c r="J73" s="67"/>
      <c r="K73" s="67">
        <f t="shared" si="7"/>
        <v>0</v>
      </c>
      <c r="L73" s="67"/>
      <c r="M73" s="67"/>
      <c r="N73" s="67">
        <f t="shared" si="12"/>
        <v>37682.909242999995</v>
      </c>
      <c r="O73" s="67">
        <v>37682.909242999995</v>
      </c>
      <c r="P73" s="68">
        <f t="shared" si="11"/>
        <v>0</v>
      </c>
      <c r="Q73" s="67"/>
      <c r="R73" s="67"/>
      <c r="S73" s="67"/>
      <c r="T73" s="67"/>
      <c r="U73" s="67">
        <f t="shared" si="14"/>
        <v>0</v>
      </c>
      <c r="V73" s="67"/>
      <c r="W73" s="67"/>
      <c r="X73" s="67"/>
      <c r="Y73" s="67"/>
      <c r="Z73" s="67"/>
      <c r="AA73" s="67"/>
      <c r="AB73" s="69">
        <f t="shared" si="13"/>
        <v>41.326773517593224</v>
      </c>
      <c r="AC73" s="69">
        <f t="shared" si="13"/>
        <v>41.326773517593224</v>
      </c>
      <c r="AD73" s="69"/>
      <c r="AE73" s="69"/>
    </row>
    <row r="74" spans="1:31" s="16" customFormat="1" ht="24.75" customHeight="1" x14ac:dyDescent="0.25">
      <c r="A74" s="65" t="s">
        <v>406</v>
      </c>
      <c r="B74" s="211" t="s">
        <v>533</v>
      </c>
      <c r="C74" s="67">
        <f t="shared" si="9"/>
        <v>50</v>
      </c>
      <c r="D74" s="67">
        <v>50</v>
      </c>
      <c r="E74" s="67">
        <f t="shared" si="10"/>
        <v>0</v>
      </c>
      <c r="F74" s="67"/>
      <c r="G74" s="67"/>
      <c r="H74" s="67"/>
      <c r="I74" s="67"/>
      <c r="J74" s="67"/>
      <c r="K74" s="67">
        <f t="shared" si="7"/>
        <v>0</v>
      </c>
      <c r="L74" s="67"/>
      <c r="M74" s="67"/>
      <c r="N74" s="67">
        <f t="shared" si="12"/>
        <v>50</v>
      </c>
      <c r="O74" s="67">
        <v>50</v>
      </c>
      <c r="P74" s="68">
        <f t="shared" si="11"/>
        <v>0</v>
      </c>
      <c r="Q74" s="67"/>
      <c r="R74" s="67"/>
      <c r="S74" s="67"/>
      <c r="T74" s="67"/>
      <c r="U74" s="67">
        <f t="shared" si="14"/>
        <v>0</v>
      </c>
      <c r="V74" s="67"/>
      <c r="W74" s="67"/>
      <c r="X74" s="67"/>
      <c r="Y74" s="67"/>
      <c r="Z74" s="67"/>
      <c r="AA74" s="67"/>
      <c r="AB74" s="69">
        <f t="shared" si="13"/>
        <v>100</v>
      </c>
      <c r="AC74" s="69">
        <f t="shared" si="13"/>
        <v>100</v>
      </c>
      <c r="AD74" s="69"/>
      <c r="AE74" s="69"/>
    </row>
    <row r="75" spans="1:31" s="16" customFormat="1" ht="43.5" customHeight="1" x14ac:dyDescent="0.25">
      <c r="A75" s="65" t="s">
        <v>407</v>
      </c>
      <c r="B75" s="75" t="s">
        <v>350</v>
      </c>
      <c r="C75" s="67">
        <f t="shared" si="9"/>
        <v>13624</v>
      </c>
      <c r="D75" s="67">
        <v>13624</v>
      </c>
      <c r="E75" s="67">
        <f t="shared" si="10"/>
        <v>0</v>
      </c>
      <c r="F75" s="67"/>
      <c r="G75" s="67"/>
      <c r="H75" s="67"/>
      <c r="I75" s="67"/>
      <c r="J75" s="67"/>
      <c r="K75" s="67">
        <f t="shared" si="7"/>
        <v>0</v>
      </c>
      <c r="L75" s="67"/>
      <c r="M75" s="67"/>
      <c r="N75" s="67">
        <f t="shared" si="12"/>
        <v>25180.6705</v>
      </c>
      <c r="O75" s="67">
        <v>25180.6705</v>
      </c>
      <c r="P75" s="68">
        <f t="shared" si="11"/>
        <v>0</v>
      </c>
      <c r="Q75" s="67"/>
      <c r="R75" s="67"/>
      <c r="S75" s="67"/>
      <c r="T75" s="67"/>
      <c r="U75" s="67">
        <f t="shared" si="14"/>
        <v>0</v>
      </c>
      <c r="V75" s="67"/>
      <c r="W75" s="67"/>
      <c r="X75" s="67"/>
      <c r="Y75" s="67"/>
      <c r="Z75" s="67"/>
      <c r="AA75" s="67"/>
      <c r="AB75" s="69">
        <f t="shared" si="13"/>
        <v>184.8258257486788</v>
      </c>
      <c r="AC75" s="69">
        <f t="shared" si="13"/>
        <v>184.8258257486788</v>
      </c>
      <c r="AD75" s="69"/>
      <c r="AE75" s="69"/>
    </row>
    <row r="76" spans="1:31" s="16" customFormat="1" ht="32.25" customHeight="1" x14ac:dyDescent="0.25">
      <c r="A76" s="65" t="s">
        <v>408</v>
      </c>
      <c r="B76" s="75" t="s">
        <v>351</v>
      </c>
      <c r="C76" s="67">
        <f t="shared" si="9"/>
        <v>19303.929</v>
      </c>
      <c r="D76" s="67">
        <v>19303.929</v>
      </c>
      <c r="E76" s="67">
        <f t="shared" si="10"/>
        <v>0</v>
      </c>
      <c r="F76" s="67"/>
      <c r="G76" s="67"/>
      <c r="H76" s="67"/>
      <c r="I76" s="67"/>
      <c r="J76" s="67"/>
      <c r="K76" s="67">
        <f t="shared" si="7"/>
        <v>0</v>
      </c>
      <c r="L76" s="67"/>
      <c r="M76" s="67"/>
      <c r="N76" s="67">
        <f t="shared" si="12"/>
        <v>14901.431294000002</v>
      </c>
      <c r="O76" s="67">
        <v>14901.431294000002</v>
      </c>
      <c r="P76" s="68">
        <f t="shared" si="11"/>
        <v>0</v>
      </c>
      <c r="Q76" s="67"/>
      <c r="R76" s="67"/>
      <c r="S76" s="67"/>
      <c r="T76" s="67"/>
      <c r="U76" s="67">
        <f t="shared" si="14"/>
        <v>0</v>
      </c>
      <c r="V76" s="67"/>
      <c r="W76" s="67"/>
      <c r="X76" s="67"/>
      <c r="Y76" s="67"/>
      <c r="Z76" s="67"/>
      <c r="AA76" s="67"/>
      <c r="AB76" s="69">
        <f t="shared" si="13"/>
        <v>77.193773837440048</v>
      </c>
      <c r="AC76" s="69">
        <f t="shared" si="13"/>
        <v>77.193773837440048</v>
      </c>
      <c r="AD76" s="69"/>
      <c r="AE76" s="69"/>
    </row>
    <row r="77" spans="1:31" s="16" customFormat="1" ht="42" customHeight="1" x14ac:dyDescent="0.25">
      <c r="A77" s="65" t="s">
        <v>409</v>
      </c>
      <c r="B77" s="75" t="s">
        <v>352</v>
      </c>
      <c r="C77" s="67">
        <f t="shared" si="9"/>
        <v>30650</v>
      </c>
      <c r="D77" s="67">
        <v>30650</v>
      </c>
      <c r="E77" s="67">
        <f t="shared" si="10"/>
        <v>0</v>
      </c>
      <c r="F77" s="67"/>
      <c r="G77" s="67"/>
      <c r="H77" s="67"/>
      <c r="I77" s="67"/>
      <c r="J77" s="67"/>
      <c r="K77" s="67">
        <f t="shared" si="7"/>
        <v>0</v>
      </c>
      <c r="L77" s="67"/>
      <c r="M77" s="67"/>
      <c r="N77" s="67">
        <f t="shared" si="12"/>
        <v>230229.06599999999</v>
      </c>
      <c r="O77" s="67">
        <v>230229.06599999999</v>
      </c>
      <c r="P77" s="68">
        <f t="shared" si="11"/>
        <v>0</v>
      </c>
      <c r="Q77" s="67"/>
      <c r="R77" s="67"/>
      <c r="S77" s="67"/>
      <c r="T77" s="67"/>
      <c r="U77" s="67">
        <f t="shared" si="14"/>
        <v>0</v>
      </c>
      <c r="V77" s="67"/>
      <c r="W77" s="67"/>
      <c r="X77" s="67"/>
      <c r="Y77" s="67"/>
      <c r="Z77" s="67"/>
      <c r="AA77" s="67"/>
      <c r="AB77" s="69">
        <f t="shared" si="13"/>
        <v>751.15519086460029</v>
      </c>
      <c r="AC77" s="69">
        <f t="shared" si="13"/>
        <v>751.15519086460029</v>
      </c>
      <c r="AD77" s="69"/>
      <c r="AE77" s="69"/>
    </row>
    <row r="78" spans="1:31" s="16" customFormat="1" ht="24.75" customHeight="1" x14ac:dyDescent="0.25">
      <c r="A78" s="65" t="s">
        <v>410</v>
      </c>
      <c r="B78" s="75" t="s">
        <v>353</v>
      </c>
      <c r="C78" s="67">
        <f t="shared" si="9"/>
        <v>49.910000000000004</v>
      </c>
      <c r="D78" s="67">
        <v>49.910000000000004</v>
      </c>
      <c r="E78" s="67">
        <f t="shared" si="10"/>
        <v>0</v>
      </c>
      <c r="F78" s="67"/>
      <c r="G78" s="67"/>
      <c r="H78" s="67"/>
      <c r="I78" s="67"/>
      <c r="J78" s="67"/>
      <c r="K78" s="67">
        <f t="shared" ref="K78:K118" si="15">L78+M78</f>
        <v>0</v>
      </c>
      <c r="L78" s="67"/>
      <c r="M78" s="67"/>
      <c r="N78" s="67">
        <f t="shared" si="12"/>
        <v>6061.5108480000008</v>
      </c>
      <c r="O78" s="67">
        <v>6061.5108480000008</v>
      </c>
      <c r="P78" s="68">
        <f t="shared" si="11"/>
        <v>0</v>
      </c>
      <c r="Q78" s="67"/>
      <c r="R78" s="67"/>
      <c r="S78" s="67"/>
      <c r="T78" s="67"/>
      <c r="U78" s="67">
        <f t="shared" si="14"/>
        <v>0</v>
      </c>
      <c r="V78" s="67"/>
      <c r="W78" s="67"/>
      <c r="X78" s="67"/>
      <c r="Y78" s="67"/>
      <c r="Z78" s="67"/>
      <c r="AA78" s="67"/>
      <c r="AB78" s="69">
        <f t="shared" si="13"/>
        <v>12144.882484472051</v>
      </c>
      <c r="AC78" s="69">
        <f t="shared" si="13"/>
        <v>12144.882484472051</v>
      </c>
      <c r="AD78" s="69"/>
      <c r="AE78" s="69"/>
    </row>
    <row r="79" spans="1:31" s="16" customFormat="1" ht="24.75" customHeight="1" x14ac:dyDescent="0.25">
      <c r="A79" s="65" t="s">
        <v>411</v>
      </c>
      <c r="B79" s="75" t="s">
        <v>354</v>
      </c>
      <c r="C79" s="67">
        <f t="shared" ref="C79:C112" si="16">D79+E79+I79+J79+K79</f>
        <v>326.03999999999996</v>
      </c>
      <c r="D79" s="67">
        <v>326.03999999999996</v>
      </c>
      <c r="E79" s="67">
        <f t="shared" ref="E79:E89" si="17">F79+G79+H79</f>
        <v>0</v>
      </c>
      <c r="F79" s="67"/>
      <c r="G79" s="67"/>
      <c r="H79" s="67"/>
      <c r="I79" s="67"/>
      <c r="J79" s="67"/>
      <c r="K79" s="67">
        <f t="shared" si="15"/>
        <v>0</v>
      </c>
      <c r="L79" s="67"/>
      <c r="M79" s="67"/>
      <c r="N79" s="67">
        <f t="shared" si="12"/>
        <v>326.03999999999996</v>
      </c>
      <c r="O79" s="67">
        <v>326.03999999999996</v>
      </c>
      <c r="P79" s="68">
        <f t="shared" ref="P79:P90" si="18">Q79+R79</f>
        <v>0</v>
      </c>
      <c r="Q79" s="67"/>
      <c r="R79" s="67"/>
      <c r="S79" s="67"/>
      <c r="T79" s="67"/>
      <c r="U79" s="67">
        <f t="shared" si="14"/>
        <v>0</v>
      </c>
      <c r="V79" s="67"/>
      <c r="W79" s="67"/>
      <c r="X79" s="67"/>
      <c r="Y79" s="67"/>
      <c r="Z79" s="67"/>
      <c r="AA79" s="67"/>
      <c r="AB79" s="69">
        <f t="shared" si="13"/>
        <v>100</v>
      </c>
      <c r="AC79" s="69">
        <f t="shared" si="13"/>
        <v>100</v>
      </c>
      <c r="AD79" s="69"/>
      <c r="AE79" s="69"/>
    </row>
    <row r="80" spans="1:31" s="16" customFormat="1" ht="33.75" customHeight="1" x14ac:dyDescent="0.25">
      <c r="A80" s="65" t="s">
        <v>412</v>
      </c>
      <c r="B80" s="75" t="s">
        <v>534</v>
      </c>
      <c r="C80" s="67">
        <f t="shared" si="16"/>
        <v>9740</v>
      </c>
      <c r="D80" s="67"/>
      <c r="E80" s="67">
        <f t="shared" si="17"/>
        <v>9740</v>
      </c>
      <c r="F80" s="67"/>
      <c r="G80" s="67"/>
      <c r="H80" s="67">
        <v>9740</v>
      </c>
      <c r="I80" s="67"/>
      <c r="J80" s="67"/>
      <c r="K80" s="67">
        <f t="shared" si="15"/>
        <v>0</v>
      </c>
      <c r="L80" s="67"/>
      <c r="M80" s="67"/>
      <c r="N80" s="67">
        <f t="shared" ref="N80:N90" si="19">O80+P80+S80+T80+U80</f>
        <v>19177.982877999999</v>
      </c>
      <c r="O80" s="67"/>
      <c r="P80" s="68">
        <f t="shared" si="18"/>
        <v>19177.982877999999</v>
      </c>
      <c r="Q80" s="67"/>
      <c r="R80" s="67">
        <f>134.081403+91+89.616145+97.75279+258.921804+133.065318+128+7937.334546+6704.381632+3603.82924</f>
        <v>19177.982877999999</v>
      </c>
      <c r="S80" s="67"/>
      <c r="T80" s="67"/>
      <c r="U80" s="67">
        <f t="shared" si="14"/>
        <v>0</v>
      </c>
      <c r="V80" s="67"/>
      <c r="W80" s="67"/>
      <c r="X80" s="67"/>
      <c r="Y80" s="67"/>
      <c r="Z80" s="67"/>
      <c r="AA80" s="67"/>
      <c r="AB80" s="69">
        <f t="shared" si="13"/>
        <v>196.89920819301847</v>
      </c>
      <c r="AC80" s="69"/>
      <c r="AD80" s="69">
        <f t="shared" ref="AD80:AD110" si="20">P80/E80%</f>
        <v>196.89920819301847</v>
      </c>
      <c r="AE80" s="69"/>
    </row>
    <row r="81" spans="1:31" s="16" customFormat="1" ht="24.75" customHeight="1" x14ac:dyDescent="0.25">
      <c r="A81" s="65" t="s">
        <v>413</v>
      </c>
      <c r="B81" s="75" t="s">
        <v>355</v>
      </c>
      <c r="C81" s="67">
        <f t="shared" si="16"/>
        <v>0</v>
      </c>
      <c r="D81" s="67"/>
      <c r="E81" s="67">
        <f t="shared" si="17"/>
        <v>0</v>
      </c>
      <c r="F81" s="67"/>
      <c r="G81" s="67"/>
      <c r="H81" s="67"/>
      <c r="I81" s="67"/>
      <c r="J81" s="67"/>
      <c r="K81" s="67">
        <f t="shared" si="15"/>
        <v>0</v>
      </c>
      <c r="L81" s="67"/>
      <c r="M81" s="67"/>
      <c r="N81" s="67">
        <f t="shared" si="19"/>
        <v>0</v>
      </c>
      <c r="O81" s="67"/>
      <c r="P81" s="68">
        <f t="shared" si="18"/>
        <v>0</v>
      </c>
      <c r="Q81" s="67"/>
      <c r="R81" s="67"/>
      <c r="S81" s="67"/>
      <c r="T81" s="67"/>
      <c r="U81" s="67">
        <f t="shared" si="14"/>
        <v>0</v>
      </c>
      <c r="V81" s="67"/>
      <c r="W81" s="67"/>
      <c r="X81" s="67"/>
      <c r="Y81" s="67"/>
      <c r="Z81" s="67"/>
      <c r="AA81" s="67"/>
      <c r="AB81" s="69"/>
      <c r="AC81" s="69"/>
      <c r="AD81" s="69"/>
      <c r="AE81" s="69"/>
    </row>
    <row r="82" spans="1:31" s="16" customFormat="1" ht="24.75" customHeight="1" x14ac:dyDescent="0.25">
      <c r="A82" s="65" t="s">
        <v>414</v>
      </c>
      <c r="B82" s="75" t="s">
        <v>356</v>
      </c>
      <c r="C82" s="67">
        <f t="shared" si="16"/>
        <v>0</v>
      </c>
      <c r="D82" s="67"/>
      <c r="E82" s="67">
        <f t="shared" si="17"/>
        <v>0</v>
      </c>
      <c r="F82" s="67"/>
      <c r="G82" s="67"/>
      <c r="H82" s="67"/>
      <c r="I82" s="67"/>
      <c r="J82" s="67"/>
      <c r="K82" s="67">
        <f t="shared" si="15"/>
        <v>0</v>
      </c>
      <c r="L82" s="67"/>
      <c r="M82" s="67"/>
      <c r="N82" s="67">
        <f t="shared" si="19"/>
        <v>0</v>
      </c>
      <c r="O82" s="67"/>
      <c r="P82" s="68">
        <f t="shared" si="18"/>
        <v>0</v>
      </c>
      <c r="Q82" s="67"/>
      <c r="R82" s="67"/>
      <c r="S82" s="67"/>
      <c r="T82" s="67"/>
      <c r="U82" s="67">
        <f t="shared" si="14"/>
        <v>0</v>
      </c>
      <c r="V82" s="67"/>
      <c r="W82" s="67"/>
      <c r="X82" s="67"/>
      <c r="Y82" s="67"/>
      <c r="Z82" s="67"/>
      <c r="AA82" s="67"/>
      <c r="AB82" s="69"/>
      <c r="AC82" s="69"/>
      <c r="AD82" s="69"/>
      <c r="AE82" s="69"/>
    </row>
    <row r="83" spans="1:31" s="16" customFormat="1" ht="24.75" customHeight="1" x14ac:dyDescent="0.25">
      <c r="A83" s="65" t="s">
        <v>415</v>
      </c>
      <c r="B83" s="77" t="s">
        <v>535</v>
      </c>
      <c r="C83" s="67">
        <f t="shared" si="16"/>
        <v>37981</v>
      </c>
      <c r="D83" s="67"/>
      <c r="E83" s="67">
        <f t="shared" si="17"/>
        <v>37981</v>
      </c>
      <c r="F83" s="67"/>
      <c r="G83" s="67"/>
      <c r="H83" s="67">
        <f>29575+6381+726+1299</f>
        <v>37981</v>
      </c>
      <c r="I83" s="67"/>
      <c r="J83" s="67"/>
      <c r="K83" s="67">
        <f t="shared" si="15"/>
        <v>0</v>
      </c>
      <c r="L83" s="67"/>
      <c r="M83" s="67"/>
      <c r="N83" s="67">
        <f t="shared" si="19"/>
        <v>246561.49835000001</v>
      </c>
      <c r="O83" s="67"/>
      <c r="P83" s="68">
        <f t="shared" si="18"/>
        <v>246561.49835000001</v>
      </c>
      <c r="Q83" s="67"/>
      <c r="R83" s="67">
        <v>246561.49835000001</v>
      </c>
      <c r="S83" s="67"/>
      <c r="T83" s="67"/>
      <c r="U83" s="67">
        <f t="shared" si="14"/>
        <v>0</v>
      </c>
      <c r="V83" s="67"/>
      <c r="W83" s="67"/>
      <c r="X83" s="67"/>
      <c r="Y83" s="67"/>
      <c r="Z83" s="67"/>
      <c r="AA83" s="67"/>
      <c r="AB83" s="69">
        <f t="shared" si="13"/>
        <v>649.17063360627685</v>
      </c>
      <c r="AC83" s="69"/>
      <c r="AD83" s="69">
        <f t="shared" si="20"/>
        <v>649.17063360627685</v>
      </c>
      <c r="AE83" s="69"/>
    </row>
    <row r="84" spans="1:31" s="16" customFormat="1" ht="24.75" customHeight="1" x14ac:dyDescent="0.25">
      <c r="A84" s="65" t="s">
        <v>416</v>
      </c>
      <c r="B84" s="75" t="s">
        <v>357</v>
      </c>
      <c r="C84" s="67">
        <f t="shared" si="16"/>
        <v>0</v>
      </c>
      <c r="D84" s="67"/>
      <c r="E84" s="67">
        <f t="shared" si="17"/>
        <v>0</v>
      </c>
      <c r="F84" s="67"/>
      <c r="G84" s="67"/>
      <c r="H84" s="67"/>
      <c r="I84" s="67"/>
      <c r="J84" s="67"/>
      <c r="K84" s="67">
        <f t="shared" si="15"/>
        <v>0</v>
      </c>
      <c r="L84" s="67"/>
      <c r="M84" s="67"/>
      <c r="N84" s="67">
        <f t="shared" si="19"/>
        <v>0</v>
      </c>
      <c r="O84" s="67"/>
      <c r="P84" s="68">
        <f t="shared" si="18"/>
        <v>0</v>
      </c>
      <c r="Q84" s="67"/>
      <c r="R84" s="67"/>
      <c r="S84" s="67"/>
      <c r="T84" s="67"/>
      <c r="U84" s="67">
        <f t="shared" si="14"/>
        <v>0</v>
      </c>
      <c r="V84" s="67"/>
      <c r="W84" s="67"/>
      <c r="X84" s="67"/>
      <c r="Y84" s="67"/>
      <c r="Z84" s="67"/>
      <c r="AA84" s="67"/>
      <c r="AB84" s="69"/>
      <c r="AC84" s="69"/>
      <c r="AD84" s="69"/>
      <c r="AE84" s="69"/>
    </row>
    <row r="85" spans="1:31" s="16" customFormat="1" ht="24.75" customHeight="1" x14ac:dyDescent="0.25">
      <c r="A85" s="65" t="s">
        <v>417</v>
      </c>
      <c r="B85" s="75" t="s">
        <v>358</v>
      </c>
      <c r="C85" s="67">
        <f t="shared" si="16"/>
        <v>0</v>
      </c>
      <c r="D85" s="67"/>
      <c r="E85" s="67">
        <f t="shared" si="17"/>
        <v>0</v>
      </c>
      <c r="F85" s="67"/>
      <c r="G85" s="67"/>
      <c r="H85" s="67"/>
      <c r="I85" s="67"/>
      <c r="J85" s="67"/>
      <c r="K85" s="67">
        <f t="shared" si="15"/>
        <v>0</v>
      </c>
      <c r="L85" s="67"/>
      <c r="M85" s="67"/>
      <c r="N85" s="67">
        <f t="shared" si="19"/>
        <v>0</v>
      </c>
      <c r="O85" s="67"/>
      <c r="P85" s="68">
        <f t="shared" si="18"/>
        <v>0</v>
      </c>
      <c r="Q85" s="67"/>
      <c r="R85" s="67"/>
      <c r="S85" s="67"/>
      <c r="T85" s="67"/>
      <c r="U85" s="67">
        <f t="shared" si="14"/>
        <v>0</v>
      </c>
      <c r="V85" s="67"/>
      <c r="W85" s="67"/>
      <c r="X85" s="67"/>
      <c r="Y85" s="67"/>
      <c r="Z85" s="67"/>
      <c r="AA85" s="67"/>
      <c r="AB85" s="69"/>
      <c r="AC85" s="69"/>
      <c r="AD85" s="69"/>
      <c r="AE85" s="69"/>
    </row>
    <row r="86" spans="1:31" s="16" customFormat="1" ht="24.75" customHeight="1" x14ac:dyDescent="0.25">
      <c r="A86" s="65" t="s">
        <v>418</v>
      </c>
      <c r="B86" s="75" t="s">
        <v>359</v>
      </c>
      <c r="C86" s="67">
        <f t="shared" si="16"/>
        <v>0</v>
      </c>
      <c r="D86" s="67"/>
      <c r="E86" s="67">
        <f t="shared" si="17"/>
        <v>0</v>
      </c>
      <c r="F86" s="67"/>
      <c r="G86" s="67"/>
      <c r="H86" s="67"/>
      <c r="I86" s="67"/>
      <c r="J86" s="67"/>
      <c r="K86" s="67">
        <f t="shared" si="15"/>
        <v>0</v>
      </c>
      <c r="L86" s="67"/>
      <c r="M86" s="67"/>
      <c r="N86" s="67">
        <f t="shared" si="19"/>
        <v>0</v>
      </c>
      <c r="O86" s="67"/>
      <c r="P86" s="68">
        <f t="shared" si="18"/>
        <v>0</v>
      </c>
      <c r="Q86" s="67"/>
      <c r="R86" s="67"/>
      <c r="S86" s="67"/>
      <c r="T86" s="67"/>
      <c r="U86" s="67">
        <f t="shared" si="14"/>
        <v>0</v>
      </c>
      <c r="V86" s="67"/>
      <c r="W86" s="67"/>
      <c r="X86" s="67"/>
      <c r="Y86" s="67"/>
      <c r="Z86" s="67"/>
      <c r="AA86" s="67"/>
      <c r="AB86" s="69"/>
      <c r="AC86" s="69"/>
      <c r="AD86" s="69"/>
      <c r="AE86" s="69"/>
    </row>
    <row r="87" spans="1:31" s="16" customFormat="1" ht="24.75" customHeight="1" x14ac:dyDescent="0.25">
      <c r="A87" s="65" t="s">
        <v>419</v>
      </c>
      <c r="B87" s="75" t="s">
        <v>360</v>
      </c>
      <c r="C87" s="67">
        <f t="shared" si="16"/>
        <v>0</v>
      </c>
      <c r="D87" s="67"/>
      <c r="E87" s="67">
        <f t="shared" si="17"/>
        <v>0</v>
      </c>
      <c r="F87" s="67"/>
      <c r="G87" s="67"/>
      <c r="H87" s="67"/>
      <c r="I87" s="67"/>
      <c r="J87" s="67"/>
      <c r="K87" s="67">
        <f t="shared" si="15"/>
        <v>0</v>
      </c>
      <c r="L87" s="67"/>
      <c r="M87" s="67"/>
      <c r="N87" s="67">
        <f t="shared" si="19"/>
        <v>0</v>
      </c>
      <c r="O87" s="67"/>
      <c r="P87" s="68">
        <f t="shared" si="18"/>
        <v>0</v>
      </c>
      <c r="Q87" s="67"/>
      <c r="R87" s="67"/>
      <c r="S87" s="67"/>
      <c r="T87" s="67"/>
      <c r="U87" s="67">
        <f t="shared" si="14"/>
        <v>0</v>
      </c>
      <c r="V87" s="67"/>
      <c r="W87" s="67"/>
      <c r="X87" s="67"/>
      <c r="Y87" s="67"/>
      <c r="Z87" s="67"/>
      <c r="AA87" s="67"/>
      <c r="AB87" s="69"/>
      <c r="AC87" s="69"/>
      <c r="AD87" s="69"/>
      <c r="AE87" s="69"/>
    </row>
    <row r="88" spans="1:31" s="16" customFormat="1" ht="24.75" customHeight="1" x14ac:dyDescent="0.25">
      <c r="A88" s="65" t="s">
        <v>420</v>
      </c>
      <c r="B88" s="75" t="s">
        <v>361</v>
      </c>
      <c r="C88" s="67">
        <f t="shared" si="16"/>
        <v>958</v>
      </c>
      <c r="D88" s="67"/>
      <c r="E88" s="67">
        <f t="shared" si="17"/>
        <v>958</v>
      </c>
      <c r="F88" s="67"/>
      <c r="G88" s="67"/>
      <c r="H88" s="67">
        <v>958</v>
      </c>
      <c r="I88" s="67"/>
      <c r="J88" s="67"/>
      <c r="K88" s="67">
        <f t="shared" si="15"/>
        <v>0</v>
      </c>
      <c r="L88" s="67"/>
      <c r="M88" s="67"/>
      <c r="N88" s="67">
        <f t="shared" si="19"/>
        <v>0</v>
      </c>
      <c r="O88" s="67"/>
      <c r="P88" s="68">
        <f t="shared" si="18"/>
        <v>0</v>
      </c>
      <c r="Q88" s="67"/>
      <c r="R88" s="67"/>
      <c r="S88" s="67"/>
      <c r="T88" s="67"/>
      <c r="U88" s="67">
        <f t="shared" si="14"/>
        <v>0</v>
      </c>
      <c r="V88" s="67"/>
      <c r="W88" s="67"/>
      <c r="X88" s="67"/>
      <c r="Y88" s="67"/>
      <c r="Z88" s="67"/>
      <c r="AA88" s="67"/>
      <c r="AB88" s="69"/>
      <c r="AC88" s="69"/>
      <c r="AD88" s="69">
        <f t="shared" si="20"/>
        <v>0</v>
      </c>
      <c r="AE88" s="69"/>
    </row>
    <row r="89" spans="1:31" s="16" customFormat="1" ht="49.5" customHeight="1" x14ac:dyDescent="0.25">
      <c r="A89" s="65" t="s">
        <v>536</v>
      </c>
      <c r="B89" s="75" t="s">
        <v>362</v>
      </c>
      <c r="C89" s="67">
        <f t="shared" si="16"/>
        <v>1656</v>
      </c>
      <c r="D89" s="67"/>
      <c r="E89" s="67">
        <f t="shared" si="17"/>
        <v>1656</v>
      </c>
      <c r="F89" s="67"/>
      <c r="G89" s="67">
        <v>668</v>
      </c>
      <c r="H89" s="67">
        <v>988</v>
      </c>
      <c r="I89" s="67"/>
      <c r="J89" s="67"/>
      <c r="K89" s="67"/>
      <c r="L89" s="67"/>
      <c r="M89" s="67"/>
      <c r="N89" s="67"/>
      <c r="O89" s="67"/>
      <c r="P89" s="68">
        <f t="shared" si="18"/>
        <v>0</v>
      </c>
      <c r="Q89" s="67"/>
      <c r="R89" s="67"/>
      <c r="S89" s="67"/>
      <c r="T89" s="67"/>
      <c r="U89" s="67"/>
      <c r="V89" s="67"/>
      <c r="W89" s="67"/>
      <c r="X89" s="67"/>
      <c r="Y89" s="67"/>
      <c r="Z89" s="67"/>
      <c r="AA89" s="67"/>
      <c r="AB89" s="69"/>
      <c r="AC89" s="69"/>
      <c r="AD89" s="69">
        <f t="shared" si="20"/>
        <v>0</v>
      </c>
      <c r="AE89" s="69"/>
    </row>
    <row r="90" spans="1:31" s="16" customFormat="1" ht="37.5" customHeight="1" x14ac:dyDescent="0.25">
      <c r="A90" s="65" t="s">
        <v>537</v>
      </c>
      <c r="B90" s="75" t="s">
        <v>538</v>
      </c>
      <c r="C90" s="67">
        <f t="shared" si="16"/>
        <v>820252.01133000001</v>
      </c>
      <c r="D90" s="67">
        <v>820252.01133000001</v>
      </c>
      <c r="E90" s="67">
        <f>F90+G90+H90</f>
        <v>0</v>
      </c>
      <c r="F90" s="67"/>
      <c r="G90" s="67"/>
      <c r="H90" s="67"/>
      <c r="I90" s="67"/>
      <c r="J90" s="67"/>
      <c r="K90" s="67">
        <f t="shared" si="15"/>
        <v>0</v>
      </c>
      <c r="L90" s="67"/>
      <c r="M90" s="67"/>
      <c r="N90" s="67">
        <f t="shared" si="19"/>
        <v>52387.741642000001</v>
      </c>
      <c r="O90" s="67">
        <f>42004.990421+9596</f>
        <v>51600.990421000002</v>
      </c>
      <c r="P90" s="68">
        <f t="shared" si="18"/>
        <v>786.75122099999999</v>
      </c>
      <c r="Q90" s="67"/>
      <c r="R90" s="67">
        <f>15+18+16+14+13+13+19+537.751221+13+108+20</f>
        <v>786.75122099999999</v>
      </c>
      <c r="S90" s="67"/>
      <c r="T90" s="67"/>
      <c r="U90" s="67">
        <f t="shared" si="14"/>
        <v>0</v>
      </c>
      <c r="V90" s="67"/>
      <c r="W90" s="67"/>
      <c r="X90" s="67"/>
      <c r="Y90" s="67"/>
      <c r="Z90" s="67"/>
      <c r="AA90" s="67"/>
      <c r="AB90" s="69">
        <f t="shared" si="13"/>
        <v>6.3867861240663997</v>
      </c>
      <c r="AC90" s="69">
        <f t="shared" si="13"/>
        <v>6.290870331098783</v>
      </c>
      <c r="AD90" s="69"/>
      <c r="AE90" s="69"/>
    </row>
    <row r="91" spans="1:31" s="36" customFormat="1" ht="58.5" customHeight="1" x14ac:dyDescent="0.25">
      <c r="A91" s="79" t="s">
        <v>363</v>
      </c>
      <c r="B91" s="80" t="s">
        <v>364</v>
      </c>
      <c r="C91" s="61">
        <f t="shared" si="16"/>
        <v>385185.23499999999</v>
      </c>
      <c r="D91" s="61">
        <f>SUM(D92:D102)</f>
        <v>385185.23499999999</v>
      </c>
      <c r="E91" s="61">
        <f t="shared" ref="E91" si="21">SUM(E92:E101)</f>
        <v>0</v>
      </c>
      <c r="F91" s="61"/>
      <c r="G91" s="61"/>
      <c r="H91" s="61"/>
      <c r="I91" s="61">
        <f>SUM(I92:I101)</f>
        <v>0</v>
      </c>
      <c r="J91" s="61">
        <f>SUM(J92:J101)</f>
        <v>0</v>
      </c>
      <c r="K91" s="61">
        <f t="shared" si="15"/>
        <v>0</v>
      </c>
      <c r="L91" s="61">
        <f>SUM(L92:L102)</f>
        <v>0</v>
      </c>
      <c r="M91" s="61">
        <f>SUM(M92:M101)</f>
        <v>0</v>
      </c>
      <c r="N91" s="61">
        <f>O91+P91+S91+T91+U91</f>
        <v>380660.08185799996</v>
      </c>
      <c r="O91" s="61">
        <f>SUM(O92:O102)</f>
        <v>344089.47438899998</v>
      </c>
      <c r="P91" s="61"/>
      <c r="Q91" s="61"/>
      <c r="R91" s="61"/>
      <c r="S91" s="61"/>
      <c r="T91" s="61"/>
      <c r="U91" s="61">
        <f t="shared" ref="U91" si="22">SUM(U92:U101)</f>
        <v>36570.607468999995</v>
      </c>
      <c r="V91" s="61">
        <f>SUM(V92:V102)</f>
        <v>36570.607468999995</v>
      </c>
      <c r="W91" s="61"/>
      <c r="X91" s="61">
        <f t="shared" ref="X91:Z91" si="23">SUM(X92:X102)</f>
        <v>0</v>
      </c>
      <c r="Y91" s="61">
        <f t="shared" si="23"/>
        <v>0</v>
      </c>
      <c r="Z91" s="61">
        <f t="shared" si="23"/>
        <v>0</v>
      </c>
      <c r="AA91" s="61"/>
      <c r="AB91" s="69">
        <f t="shared" ref="AB91:AC116" si="24">N91/C91%</f>
        <v>98.825200778529322</v>
      </c>
      <c r="AC91" s="69">
        <f t="shared" si="24"/>
        <v>89.330909682714093</v>
      </c>
      <c r="AD91" s="69"/>
      <c r="AE91" s="69"/>
    </row>
    <row r="92" spans="1:31" s="16" customFormat="1" x14ac:dyDescent="0.25">
      <c r="A92" s="81" t="s">
        <v>259</v>
      </c>
      <c r="B92" s="82" t="s">
        <v>365</v>
      </c>
      <c r="C92" s="67">
        <f t="shared" si="16"/>
        <v>5678.8280000000004</v>
      </c>
      <c r="D92" s="68">
        <v>5678.8280000000004</v>
      </c>
      <c r="E92" s="68"/>
      <c r="F92" s="68"/>
      <c r="G92" s="68"/>
      <c r="H92" s="68"/>
      <c r="I92" s="68"/>
      <c r="J92" s="68"/>
      <c r="K92" s="67">
        <f t="shared" si="15"/>
        <v>0</v>
      </c>
      <c r="L92" s="68"/>
      <c r="M92" s="68"/>
      <c r="N92" s="67">
        <f t="shared" ref="N92:N99" si="25">O92+P92+S92+T92+U92</f>
        <v>6332.4467159999995</v>
      </c>
      <c r="O92" s="68">
        <v>6332.4467159999995</v>
      </c>
      <c r="P92" s="68"/>
      <c r="Q92" s="68"/>
      <c r="R92" s="68"/>
      <c r="S92" s="68"/>
      <c r="T92" s="68"/>
      <c r="U92" s="67">
        <f t="shared" ref="U92:U101" si="26">V92+W92</f>
        <v>0</v>
      </c>
      <c r="V92" s="68"/>
      <c r="W92" s="68"/>
      <c r="X92" s="67">
        <f t="shared" ref="X92:X101" si="27">Y92+Z92</f>
        <v>0</v>
      </c>
      <c r="Y92" s="67"/>
      <c r="Z92" s="67"/>
      <c r="AA92" s="67"/>
      <c r="AB92" s="69">
        <f t="shared" si="24"/>
        <v>111.50974665899369</v>
      </c>
      <c r="AC92" s="69">
        <f t="shared" si="24"/>
        <v>111.50974665899369</v>
      </c>
      <c r="AD92" s="69"/>
      <c r="AE92" s="69"/>
    </row>
    <row r="93" spans="1:31" s="16" customFormat="1" x14ac:dyDescent="0.25">
      <c r="A93" s="81" t="s">
        <v>261</v>
      </c>
      <c r="B93" s="82" t="s">
        <v>366</v>
      </c>
      <c r="C93" s="67">
        <f t="shared" si="16"/>
        <v>5950.3130000000001</v>
      </c>
      <c r="D93" s="68">
        <v>5950.3130000000001</v>
      </c>
      <c r="E93" s="68"/>
      <c r="F93" s="68"/>
      <c r="G93" s="68"/>
      <c r="H93" s="68"/>
      <c r="I93" s="68"/>
      <c r="J93" s="68"/>
      <c r="K93" s="67">
        <f t="shared" si="15"/>
        <v>0</v>
      </c>
      <c r="L93" s="68"/>
      <c r="M93" s="68"/>
      <c r="N93" s="67">
        <f t="shared" si="25"/>
        <v>18744.647000000001</v>
      </c>
      <c r="O93" s="68">
        <v>18744.647000000001</v>
      </c>
      <c r="P93" s="68"/>
      <c r="Q93" s="68"/>
      <c r="R93" s="68"/>
      <c r="S93" s="68"/>
      <c r="T93" s="68"/>
      <c r="U93" s="67">
        <f t="shared" si="26"/>
        <v>0</v>
      </c>
      <c r="V93" s="68"/>
      <c r="W93" s="68"/>
      <c r="X93" s="67">
        <f t="shared" si="27"/>
        <v>0</v>
      </c>
      <c r="Y93" s="67"/>
      <c r="Z93" s="67"/>
      <c r="AA93" s="67"/>
      <c r="AB93" s="69">
        <f t="shared" si="24"/>
        <v>315.01951241892658</v>
      </c>
      <c r="AC93" s="69">
        <f t="shared" si="24"/>
        <v>315.01951241892658</v>
      </c>
      <c r="AD93" s="69"/>
      <c r="AE93" s="69"/>
    </row>
    <row r="94" spans="1:31" s="16" customFormat="1" x14ac:dyDescent="0.25">
      <c r="A94" s="81" t="s">
        <v>263</v>
      </c>
      <c r="B94" s="82" t="s">
        <v>367</v>
      </c>
      <c r="C94" s="67">
        <f t="shared" si="16"/>
        <v>50795</v>
      </c>
      <c r="D94" s="68">
        <v>50795</v>
      </c>
      <c r="E94" s="68"/>
      <c r="F94" s="68"/>
      <c r="G94" s="68"/>
      <c r="H94" s="68"/>
      <c r="I94" s="68"/>
      <c r="J94" s="68"/>
      <c r="K94" s="67">
        <f t="shared" si="15"/>
        <v>0</v>
      </c>
      <c r="L94" s="68"/>
      <c r="M94" s="68"/>
      <c r="N94" s="67">
        <f t="shared" si="25"/>
        <v>73703.502382999999</v>
      </c>
      <c r="O94" s="68">
        <v>61930.565769000001</v>
      </c>
      <c r="P94" s="68"/>
      <c r="Q94" s="68"/>
      <c r="R94" s="68"/>
      <c r="S94" s="68"/>
      <c r="T94" s="68"/>
      <c r="U94" s="67">
        <f t="shared" si="26"/>
        <v>11772.936614</v>
      </c>
      <c r="V94" s="68">
        <v>11772.936614</v>
      </c>
      <c r="W94" s="68"/>
      <c r="X94" s="67">
        <f t="shared" si="27"/>
        <v>0</v>
      </c>
      <c r="Y94" s="67"/>
      <c r="Z94" s="67"/>
      <c r="AA94" s="67"/>
      <c r="AB94" s="69">
        <f t="shared" si="24"/>
        <v>145.09991610000984</v>
      </c>
      <c r="AC94" s="69">
        <f t="shared" si="24"/>
        <v>121.92256278964466</v>
      </c>
      <c r="AD94" s="69"/>
      <c r="AE94" s="69"/>
    </row>
    <row r="95" spans="1:31" s="16" customFormat="1" x14ac:dyDescent="0.25">
      <c r="A95" s="81" t="s">
        <v>265</v>
      </c>
      <c r="B95" s="82" t="s">
        <v>368</v>
      </c>
      <c r="C95" s="67">
        <f t="shared" si="16"/>
        <v>122782.913</v>
      </c>
      <c r="D95" s="68">
        <v>122782.913</v>
      </c>
      <c r="E95" s="68"/>
      <c r="F95" s="68"/>
      <c r="G95" s="68"/>
      <c r="H95" s="68"/>
      <c r="I95" s="68"/>
      <c r="J95" s="68"/>
      <c r="K95" s="67">
        <f t="shared" si="15"/>
        <v>0</v>
      </c>
      <c r="L95" s="68"/>
      <c r="M95" s="68"/>
      <c r="N95" s="67">
        <f t="shared" si="25"/>
        <v>117971.10799999999</v>
      </c>
      <c r="O95" s="68">
        <v>117971.10799999999</v>
      </c>
      <c r="P95" s="68"/>
      <c r="Q95" s="68"/>
      <c r="R95" s="68"/>
      <c r="S95" s="68"/>
      <c r="T95" s="68"/>
      <c r="U95" s="67">
        <f t="shared" si="26"/>
        <v>0</v>
      </c>
      <c r="V95" s="68">
        <v>0</v>
      </c>
      <c r="W95" s="68"/>
      <c r="X95" s="67">
        <f t="shared" si="27"/>
        <v>0</v>
      </c>
      <c r="Y95" s="67"/>
      <c r="Z95" s="67"/>
      <c r="AA95" s="67"/>
      <c r="AB95" s="69">
        <f t="shared" si="24"/>
        <v>96.081046716980879</v>
      </c>
      <c r="AC95" s="69">
        <f t="shared" si="24"/>
        <v>96.081046716980879</v>
      </c>
      <c r="AD95" s="69"/>
      <c r="AE95" s="69"/>
    </row>
    <row r="96" spans="1:31" s="16" customFormat="1" x14ac:dyDescent="0.25">
      <c r="A96" s="81" t="s">
        <v>267</v>
      </c>
      <c r="B96" s="82" t="s">
        <v>369</v>
      </c>
      <c r="C96" s="67">
        <f t="shared" si="16"/>
        <v>48400</v>
      </c>
      <c r="D96" s="68">
        <v>48400</v>
      </c>
      <c r="E96" s="68"/>
      <c r="F96" s="68"/>
      <c r="G96" s="68"/>
      <c r="H96" s="68"/>
      <c r="I96" s="68"/>
      <c r="J96" s="68"/>
      <c r="K96" s="67">
        <f t="shared" si="15"/>
        <v>0</v>
      </c>
      <c r="L96" s="68"/>
      <c r="M96" s="68"/>
      <c r="N96" s="67">
        <f t="shared" si="25"/>
        <v>9896.1823089999998</v>
      </c>
      <c r="O96" s="68">
        <v>9896.1823089999998</v>
      </c>
      <c r="P96" s="68"/>
      <c r="Q96" s="68"/>
      <c r="R96" s="68"/>
      <c r="S96" s="68"/>
      <c r="T96" s="68"/>
      <c r="U96" s="67">
        <f t="shared" si="26"/>
        <v>0</v>
      </c>
      <c r="V96" s="68">
        <v>0</v>
      </c>
      <c r="W96" s="68"/>
      <c r="X96" s="67">
        <f t="shared" si="27"/>
        <v>0</v>
      </c>
      <c r="Y96" s="67"/>
      <c r="Z96" s="67"/>
      <c r="AA96" s="67"/>
      <c r="AB96" s="69">
        <f t="shared" si="24"/>
        <v>20.446657663223139</v>
      </c>
      <c r="AC96" s="69">
        <f t="shared" si="24"/>
        <v>20.446657663223139</v>
      </c>
      <c r="AD96" s="69"/>
      <c r="AE96" s="69"/>
    </row>
    <row r="97" spans="1:38" s="16" customFormat="1" x14ac:dyDescent="0.25">
      <c r="A97" s="81" t="s">
        <v>269</v>
      </c>
      <c r="B97" s="82" t="s">
        <v>370</v>
      </c>
      <c r="C97" s="67">
        <f t="shared" si="16"/>
        <v>500</v>
      </c>
      <c r="D97" s="68">
        <v>500</v>
      </c>
      <c r="E97" s="68"/>
      <c r="F97" s="68"/>
      <c r="G97" s="68"/>
      <c r="H97" s="68"/>
      <c r="I97" s="68"/>
      <c r="J97" s="68"/>
      <c r="K97" s="67">
        <f t="shared" si="15"/>
        <v>0</v>
      </c>
      <c r="L97" s="68"/>
      <c r="M97" s="68"/>
      <c r="N97" s="67">
        <f t="shared" si="25"/>
        <v>0</v>
      </c>
      <c r="O97" s="68"/>
      <c r="P97" s="68"/>
      <c r="Q97" s="68"/>
      <c r="R97" s="68"/>
      <c r="S97" s="68"/>
      <c r="T97" s="68"/>
      <c r="U97" s="67">
        <f t="shared" si="26"/>
        <v>0</v>
      </c>
      <c r="V97" s="68">
        <v>0</v>
      </c>
      <c r="W97" s="68"/>
      <c r="X97" s="67">
        <f t="shared" si="27"/>
        <v>0</v>
      </c>
      <c r="Y97" s="67"/>
      <c r="Z97" s="67"/>
      <c r="AA97" s="67"/>
      <c r="AB97" s="69">
        <f t="shared" si="24"/>
        <v>0</v>
      </c>
      <c r="AC97" s="69">
        <f t="shared" si="24"/>
        <v>0</v>
      </c>
      <c r="AD97" s="69"/>
      <c r="AE97" s="69"/>
    </row>
    <row r="98" spans="1:38" s="16" customFormat="1" x14ac:dyDescent="0.25">
      <c r="A98" s="81" t="s">
        <v>271</v>
      </c>
      <c r="B98" s="82" t="s">
        <v>371</v>
      </c>
      <c r="C98" s="67">
        <f t="shared" si="16"/>
        <v>74852</v>
      </c>
      <c r="D98" s="68">
        <v>74852</v>
      </c>
      <c r="E98" s="68"/>
      <c r="F98" s="68"/>
      <c r="G98" s="68"/>
      <c r="H98" s="68"/>
      <c r="I98" s="68"/>
      <c r="J98" s="68"/>
      <c r="K98" s="67">
        <f t="shared" si="15"/>
        <v>0</v>
      </c>
      <c r="L98" s="68"/>
      <c r="M98" s="68"/>
      <c r="N98" s="67">
        <f t="shared" si="25"/>
        <v>71369.936602000002</v>
      </c>
      <c r="O98" s="68">
        <v>70068.1587</v>
      </c>
      <c r="P98" s="68"/>
      <c r="Q98" s="68"/>
      <c r="R98" s="68"/>
      <c r="S98" s="68"/>
      <c r="T98" s="68"/>
      <c r="U98" s="67">
        <f t="shared" si="26"/>
        <v>1301.777902</v>
      </c>
      <c r="V98" s="68">
        <v>1301.777902</v>
      </c>
      <c r="W98" s="68"/>
      <c r="X98" s="67">
        <f t="shared" si="27"/>
        <v>0</v>
      </c>
      <c r="Y98" s="67"/>
      <c r="Z98" s="67"/>
      <c r="AA98" s="67"/>
      <c r="AB98" s="69">
        <f t="shared" si="24"/>
        <v>95.348068992144505</v>
      </c>
      <c r="AC98" s="69">
        <f t="shared" si="24"/>
        <v>93.608933228237063</v>
      </c>
      <c r="AD98" s="69"/>
      <c r="AE98" s="69"/>
      <c r="AI98" s="36"/>
      <c r="AJ98" s="36"/>
      <c r="AK98" s="36"/>
      <c r="AL98" s="36"/>
    </row>
    <row r="99" spans="1:38" s="16" customFormat="1" x14ac:dyDescent="0.25">
      <c r="A99" s="81" t="s">
        <v>273</v>
      </c>
      <c r="B99" s="82" t="s">
        <v>372</v>
      </c>
      <c r="C99" s="67">
        <f t="shared" si="16"/>
        <v>58814.180999999997</v>
      </c>
      <c r="D99" s="68">
        <v>58814.180999999997</v>
      </c>
      <c r="E99" s="68"/>
      <c r="F99" s="68"/>
      <c r="G99" s="68"/>
      <c r="H99" s="68"/>
      <c r="I99" s="68"/>
      <c r="J99" s="68"/>
      <c r="K99" s="67">
        <f t="shared" si="15"/>
        <v>0</v>
      </c>
      <c r="L99" s="68"/>
      <c r="M99" s="68"/>
      <c r="N99" s="67">
        <f t="shared" si="25"/>
        <v>37109.549999999996</v>
      </c>
      <c r="O99" s="68">
        <v>37109.549999999996</v>
      </c>
      <c r="P99" s="68"/>
      <c r="Q99" s="68"/>
      <c r="R99" s="68"/>
      <c r="S99" s="68"/>
      <c r="T99" s="68"/>
      <c r="U99" s="67">
        <f t="shared" si="26"/>
        <v>0</v>
      </c>
      <c r="V99" s="68">
        <v>0</v>
      </c>
      <c r="W99" s="68"/>
      <c r="X99" s="67">
        <f t="shared" si="27"/>
        <v>0</v>
      </c>
      <c r="Y99" s="67"/>
      <c r="Z99" s="67"/>
      <c r="AA99" s="67"/>
      <c r="AB99" s="69">
        <f t="shared" si="24"/>
        <v>63.09626244731691</v>
      </c>
      <c r="AC99" s="69">
        <f t="shared" si="24"/>
        <v>63.09626244731691</v>
      </c>
      <c r="AD99" s="69"/>
      <c r="AE99" s="69"/>
      <c r="AI99" s="36"/>
      <c r="AJ99" s="36"/>
      <c r="AK99" s="36"/>
      <c r="AL99" s="36"/>
    </row>
    <row r="100" spans="1:38" s="16" customFormat="1" x14ac:dyDescent="0.25">
      <c r="A100" s="81" t="s">
        <v>274</v>
      </c>
      <c r="B100" s="82" t="s">
        <v>373</v>
      </c>
      <c r="C100" s="67">
        <f>D100+E100+I100+J100+K100</f>
        <v>16911.999999999996</v>
      </c>
      <c r="D100" s="68">
        <v>16911.999999999996</v>
      </c>
      <c r="E100" s="68"/>
      <c r="F100" s="68"/>
      <c r="G100" s="68"/>
      <c r="H100" s="68"/>
      <c r="I100" s="68"/>
      <c r="J100" s="68"/>
      <c r="K100" s="67">
        <f t="shared" si="15"/>
        <v>0</v>
      </c>
      <c r="L100" s="68"/>
      <c r="M100" s="68"/>
      <c r="N100" s="67">
        <f t="shared" ref="N100:N101" si="28">O100+P100+S100+T100+U100+X100</f>
        <v>23495.892952999999</v>
      </c>
      <c r="O100" s="68">
        <v>0</v>
      </c>
      <c r="P100" s="68"/>
      <c r="Q100" s="68"/>
      <c r="R100" s="68"/>
      <c r="S100" s="68"/>
      <c r="T100" s="68"/>
      <c r="U100" s="67">
        <f t="shared" si="26"/>
        <v>23495.892952999999</v>
      </c>
      <c r="V100" s="68">
        <v>23495.892952999999</v>
      </c>
      <c r="W100" s="68"/>
      <c r="X100" s="67">
        <f t="shared" si="27"/>
        <v>0</v>
      </c>
      <c r="Y100" s="67"/>
      <c r="Z100" s="67"/>
      <c r="AA100" s="67"/>
      <c r="AB100" s="69">
        <f t="shared" si="24"/>
        <v>138.93030364829707</v>
      </c>
      <c r="AC100" s="69">
        <f t="shared" si="24"/>
        <v>0</v>
      </c>
      <c r="AD100" s="69"/>
      <c r="AE100" s="69"/>
      <c r="AI100" s="36"/>
      <c r="AJ100" s="36"/>
      <c r="AK100" s="36"/>
      <c r="AL100" s="36"/>
    </row>
    <row r="101" spans="1:38" s="16" customFormat="1" x14ac:dyDescent="0.25">
      <c r="A101" s="81" t="s">
        <v>276</v>
      </c>
      <c r="B101" s="82" t="s">
        <v>374</v>
      </c>
      <c r="C101" s="67">
        <f t="shared" si="16"/>
        <v>500</v>
      </c>
      <c r="D101" s="68">
        <v>500</v>
      </c>
      <c r="E101" s="68"/>
      <c r="F101" s="68"/>
      <c r="G101" s="68"/>
      <c r="H101" s="68"/>
      <c r="I101" s="68"/>
      <c r="J101" s="68"/>
      <c r="K101" s="67">
        <f t="shared" si="15"/>
        <v>0</v>
      </c>
      <c r="L101" s="68"/>
      <c r="M101" s="68"/>
      <c r="N101" s="67">
        <f t="shared" si="28"/>
        <v>22036.815895</v>
      </c>
      <c r="O101" s="68">
        <v>22036.815895</v>
      </c>
      <c r="P101" s="68"/>
      <c r="Q101" s="68"/>
      <c r="R101" s="68"/>
      <c r="S101" s="68"/>
      <c r="T101" s="68"/>
      <c r="U101" s="67">
        <f t="shared" si="26"/>
        <v>0</v>
      </c>
      <c r="V101" s="68"/>
      <c r="W101" s="68"/>
      <c r="X101" s="67">
        <f t="shared" si="27"/>
        <v>0</v>
      </c>
      <c r="Y101" s="67"/>
      <c r="Z101" s="67"/>
      <c r="AA101" s="67"/>
      <c r="AB101" s="69">
        <f t="shared" si="24"/>
        <v>4407.3631789999999</v>
      </c>
      <c r="AC101" s="69">
        <f t="shared" si="24"/>
        <v>4407.3631789999999</v>
      </c>
      <c r="AD101" s="69"/>
      <c r="AE101" s="69"/>
      <c r="AI101" s="36"/>
      <c r="AJ101" s="36"/>
      <c r="AK101" s="36"/>
      <c r="AL101" s="36"/>
    </row>
    <row r="102" spans="1:38" s="16" customFormat="1" x14ac:dyDescent="0.25">
      <c r="A102" s="81">
        <v>11</v>
      </c>
      <c r="B102" s="82" t="s">
        <v>375</v>
      </c>
      <c r="C102" s="67">
        <f t="shared" si="16"/>
        <v>0</v>
      </c>
      <c r="D102" s="68"/>
      <c r="E102" s="68"/>
      <c r="F102" s="68"/>
      <c r="G102" s="68"/>
      <c r="H102" s="68"/>
      <c r="I102" s="68"/>
      <c r="J102" s="68"/>
      <c r="K102" s="67">
        <f t="shared" si="15"/>
        <v>0</v>
      </c>
      <c r="L102" s="68"/>
      <c r="M102" s="68"/>
      <c r="N102" s="67"/>
      <c r="O102" s="68"/>
      <c r="P102" s="68"/>
      <c r="Q102" s="68"/>
      <c r="R102" s="68"/>
      <c r="S102" s="68"/>
      <c r="T102" s="68"/>
      <c r="U102" s="67"/>
      <c r="V102" s="68"/>
      <c r="W102" s="68"/>
      <c r="X102" s="67"/>
      <c r="Y102" s="67"/>
      <c r="Z102" s="67"/>
      <c r="AA102" s="67"/>
      <c r="AB102" s="69"/>
      <c r="AC102" s="69"/>
      <c r="AD102" s="69"/>
      <c r="AE102" s="69"/>
      <c r="AI102" s="36"/>
      <c r="AJ102" s="36"/>
      <c r="AK102" s="36"/>
      <c r="AL102" s="36"/>
    </row>
    <row r="103" spans="1:38" s="36" customFormat="1" x14ac:dyDescent="0.25">
      <c r="A103" s="79" t="s">
        <v>25</v>
      </c>
      <c r="B103" s="83" t="s">
        <v>376</v>
      </c>
      <c r="C103" s="61">
        <f>D103+E103+I103+J103+K103</f>
        <v>73328</v>
      </c>
      <c r="D103" s="84"/>
      <c r="E103" s="84">
        <f>E104+E105+E106+E107+E109+E108+E110</f>
        <v>73328</v>
      </c>
      <c r="F103" s="84">
        <f>F104+F105+F106+F107+F109+F108+F110</f>
        <v>73328</v>
      </c>
      <c r="G103" s="84"/>
      <c r="H103" s="84"/>
      <c r="I103" s="84"/>
      <c r="J103" s="84"/>
      <c r="K103" s="61"/>
      <c r="L103" s="84"/>
      <c r="M103" s="84"/>
      <c r="N103" s="61"/>
      <c r="O103" s="84"/>
      <c r="P103" s="84"/>
      <c r="Q103" s="84"/>
      <c r="R103" s="84"/>
      <c r="S103" s="84"/>
      <c r="T103" s="84"/>
      <c r="U103" s="61"/>
      <c r="V103" s="84"/>
      <c r="W103" s="84"/>
      <c r="X103" s="61"/>
      <c r="Y103" s="61"/>
      <c r="Z103" s="61"/>
      <c r="AA103" s="61"/>
      <c r="AB103" s="69"/>
      <c r="AC103" s="69"/>
      <c r="AD103" s="69">
        <f t="shared" si="20"/>
        <v>0</v>
      </c>
      <c r="AE103" s="69"/>
    </row>
    <row r="104" spans="1:38" s="36" customFormat="1" x14ac:dyDescent="0.25">
      <c r="A104" s="79"/>
      <c r="B104" s="82" t="s">
        <v>377</v>
      </c>
      <c r="C104" s="67">
        <f>D104+E104+I104+J104+K104</f>
        <v>3256</v>
      </c>
      <c r="D104" s="68"/>
      <c r="E104" s="68">
        <f>F104+G104+H104</f>
        <v>3256</v>
      </c>
      <c r="F104" s="68">
        <v>3256</v>
      </c>
      <c r="G104" s="84"/>
      <c r="H104" s="84"/>
      <c r="I104" s="84"/>
      <c r="J104" s="84"/>
      <c r="K104" s="61"/>
      <c r="L104" s="84"/>
      <c r="M104" s="84"/>
      <c r="N104" s="61"/>
      <c r="O104" s="84"/>
      <c r="P104" s="84"/>
      <c r="Q104" s="84"/>
      <c r="R104" s="84"/>
      <c r="S104" s="84"/>
      <c r="T104" s="84"/>
      <c r="U104" s="61"/>
      <c r="V104" s="84"/>
      <c r="W104" s="84"/>
      <c r="X104" s="61"/>
      <c r="Y104" s="61"/>
      <c r="Z104" s="61"/>
      <c r="AA104" s="61"/>
      <c r="AB104" s="69"/>
      <c r="AC104" s="69"/>
      <c r="AD104" s="69">
        <f t="shared" si="20"/>
        <v>0</v>
      </c>
      <c r="AE104" s="69"/>
    </row>
    <row r="105" spans="1:38" s="36" customFormat="1" ht="31.5" x14ac:dyDescent="0.25">
      <c r="A105" s="79"/>
      <c r="B105" s="82" t="s">
        <v>539</v>
      </c>
      <c r="C105" s="67">
        <f>D105+E105+I105+J105+K105</f>
        <v>5000</v>
      </c>
      <c r="D105" s="68"/>
      <c r="E105" s="68">
        <f>F105+G105+H105</f>
        <v>5000</v>
      </c>
      <c r="F105" s="68">
        <v>5000</v>
      </c>
      <c r="G105" s="84"/>
      <c r="H105" s="84"/>
      <c r="I105" s="84"/>
      <c r="J105" s="84"/>
      <c r="K105" s="61"/>
      <c r="L105" s="84"/>
      <c r="M105" s="84"/>
      <c r="N105" s="61"/>
      <c r="O105" s="84"/>
      <c r="P105" s="84"/>
      <c r="Q105" s="84"/>
      <c r="R105" s="84"/>
      <c r="S105" s="84"/>
      <c r="T105" s="84"/>
      <c r="U105" s="61"/>
      <c r="V105" s="84"/>
      <c r="W105" s="84"/>
      <c r="X105" s="61"/>
      <c r="Y105" s="61"/>
      <c r="Z105" s="61"/>
      <c r="AA105" s="61"/>
      <c r="AB105" s="69"/>
      <c r="AC105" s="69"/>
      <c r="AD105" s="69">
        <f t="shared" si="20"/>
        <v>0</v>
      </c>
      <c r="AE105" s="69"/>
    </row>
    <row r="106" spans="1:38" s="36" customFormat="1" x14ac:dyDescent="0.25">
      <c r="A106" s="79"/>
      <c r="B106" s="82" t="s">
        <v>378</v>
      </c>
      <c r="C106" s="67">
        <f t="shared" ref="C106:C110" si="29">D106+E106+I106+J106+K106</f>
        <v>6000</v>
      </c>
      <c r="D106" s="68"/>
      <c r="E106" s="68">
        <f t="shared" ref="E106:E110" si="30">F106+G106+H106</f>
        <v>6000</v>
      </c>
      <c r="F106" s="68">
        <v>6000</v>
      </c>
      <c r="G106" s="84"/>
      <c r="H106" s="84"/>
      <c r="I106" s="84"/>
      <c r="J106" s="84"/>
      <c r="K106" s="61"/>
      <c r="L106" s="84"/>
      <c r="M106" s="84"/>
      <c r="N106" s="61"/>
      <c r="O106" s="84"/>
      <c r="P106" s="84"/>
      <c r="Q106" s="84"/>
      <c r="R106" s="84"/>
      <c r="S106" s="84"/>
      <c r="T106" s="84"/>
      <c r="U106" s="61"/>
      <c r="V106" s="84"/>
      <c r="W106" s="84"/>
      <c r="X106" s="61"/>
      <c r="Y106" s="61"/>
      <c r="Z106" s="61"/>
      <c r="AA106" s="61"/>
      <c r="AB106" s="69"/>
      <c r="AC106" s="69"/>
      <c r="AD106" s="69">
        <f t="shared" si="20"/>
        <v>0</v>
      </c>
      <c r="AE106" s="69"/>
    </row>
    <row r="107" spans="1:38" s="36" customFormat="1" x14ac:dyDescent="0.25">
      <c r="A107" s="79"/>
      <c r="B107" s="82" t="s">
        <v>540</v>
      </c>
      <c r="C107" s="67">
        <f t="shared" si="29"/>
        <v>5000</v>
      </c>
      <c r="D107" s="68"/>
      <c r="E107" s="68">
        <f t="shared" si="30"/>
        <v>5000</v>
      </c>
      <c r="F107" s="68">
        <v>5000</v>
      </c>
      <c r="G107" s="84"/>
      <c r="H107" s="84"/>
      <c r="I107" s="84"/>
      <c r="J107" s="84"/>
      <c r="K107" s="61"/>
      <c r="L107" s="84"/>
      <c r="M107" s="84"/>
      <c r="N107" s="61"/>
      <c r="O107" s="84"/>
      <c r="P107" s="84"/>
      <c r="Q107" s="84"/>
      <c r="R107" s="84"/>
      <c r="S107" s="84"/>
      <c r="T107" s="84"/>
      <c r="U107" s="61"/>
      <c r="V107" s="84"/>
      <c r="W107" s="84"/>
      <c r="X107" s="61"/>
      <c r="Y107" s="61"/>
      <c r="Z107" s="61"/>
      <c r="AA107" s="61"/>
      <c r="AB107" s="69"/>
      <c r="AC107" s="69"/>
      <c r="AD107" s="69">
        <f t="shared" si="20"/>
        <v>0</v>
      </c>
      <c r="AE107" s="69"/>
    </row>
    <row r="108" spans="1:38" s="36" customFormat="1" x14ac:dyDescent="0.25">
      <c r="A108" s="79"/>
      <c r="B108" s="82" t="s">
        <v>541</v>
      </c>
      <c r="C108" s="67">
        <f t="shared" si="29"/>
        <v>10000</v>
      </c>
      <c r="D108" s="68"/>
      <c r="E108" s="68">
        <f t="shared" si="30"/>
        <v>10000</v>
      </c>
      <c r="F108" s="68">
        <v>10000</v>
      </c>
      <c r="G108" s="84"/>
      <c r="H108" s="84"/>
      <c r="I108" s="84"/>
      <c r="J108" s="84"/>
      <c r="K108" s="61"/>
      <c r="L108" s="84"/>
      <c r="M108" s="84"/>
      <c r="N108" s="61"/>
      <c r="O108" s="84"/>
      <c r="P108" s="84"/>
      <c r="Q108" s="84"/>
      <c r="R108" s="84"/>
      <c r="S108" s="84"/>
      <c r="T108" s="84"/>
      <c r="U108" s="61"/>
      <c r="V108" s="84"/>
      <c r="W108" s="84"/>
      <c r="X108" s="61"/>
      <c r="Y108" s="61"/>
      <c r="Z108" s="61"/>
      <c r="AA108" s="61"/>
      <c r="AB108" s="69"/>
      <c r="AC108" s="69"/>
      <c r="AD108" s="69">
        <f t="shared" si="20"/>
        <v>0</v>
      </c>
      <c r="AE108" s="69"/>
    </row>
    <row r="109" spans="1:38" s="36" customFormat="1" x14ac:dyDescent="0.25">
      <c r="A109" s="79"/>
      <c r="B109" s="82" t="s">
        <v>379</v>
      </c>
      <c r="C109" s="67">
        <f t="shared" si="29"/>
        <v>44072</v>
      </c>
      <c r="D109" s="68"/>
      <c r="E109" s="68">
        <f t="shared" si="30"/>
        <v>44072</v>
      </c>
      <c r="F109" s="68">
        <f>47919-3847</f>
        <v>44072</v>
      </c>
      <c r="G109" s="84"/>
      <c r="H109" s="84"/>
      <c r="I109" s="84"/>
      <c r="J109" s="84"/>
      <c r="K109" s="61"/>
      <c r="L109" s="84"/>
      <c r="M109" s="84"/>
      <c r="N109" s="61"/>
      <c r="O109" s="84"/>
      <c r="P109" s="84"/>
      <c r="Q109" s="84"/>
      <c r="R109" s="84"/>
      <c r="S109" s="84"/>
      <c r="T109" s="84"/>
      <c r="U109" s="61"/>
      <c r="V109" s="84"/>
      <c r="W109" s="84"/>
      <c r="X109" s="61"/>
      <c r="Y109" s="61"/>
      <c r="Z109" s="61"/>
      <c r="AA109" s="61"/>
      <c r="AB109" s="69"/>
      <c r="AC109" s="69"/>
      <c r="AD109" s="69">
        <f t="shared" si="20"/>
        <v>0</v>
      </c>
      <c r="AE109" s="69"/>
    </row>
    <row r="110" spans="1:38" s="36" customFormat="1" hidden="1" x14ac:dyDescent="0.25">
      <c r="A110" s="79"/>
      <c r="B110" s="82"/>
      <c r="C110" s="67">
        <f t="shared" si="29"/>
        <v>0</v>
      </c>
      <c r="D110" s="84"/>
      <c r="E110" s="68">
        <f t="shared" si="30"/>
        <v>0</v>
      </c>
      <c r="F110" s="68"/>
      <c r="G110" s="84"/>
      <c r="H110" s="84"/>
      <c r="I110" s="84"/>
      <c r="J110" s="84"/>
      <c r="K110" s="61"/>
      <c r="L110" s="84"/>
      <c r="M110" s="84"/>
      <c r="N110" s="61"/>
      <c r="O110" s="84"/>
      <c r="P110" s="84"/>
      <c r="Q110" s="84"/>
      <c r="R110" s="84"/>
      <c r="S110" s="84"/>
      <c r="T110" s="84"/>
      <c r="U110" s="61"/>
      <c r="V110" s="84"/>
      <c r="W110" s="84"/>
      <c r="X110" s="61"/>
      <c r="Y110" s="61"/>
      <c r="Z110" s="61"/>
      <c r="AA110" s="61"/>
      <c r="AB110" s="69" t="e">
        <f t="shared" si="24"/>
        <v>#DIV/0!</v>
      </c>
      <c r="AC110" s="69" t="e">
        <f t="shared" si="24"/>
        <v>#DIV/0!</v>
      </c>
      <c r="AD110" s="69" t="e">
        <f t="shared" si="20"/>
        <v>#DIV/0!</v>
      </c>
      <c r="AE110" s="69"/>
    </row>
    <row r="111" spans="1:38" s="36" customFormat="1" ht="68.25" customHeight="1" x14ac:dyDescent="0.25">
      <c r="A111" s="85" t="s">
        <v>29</v>
      </c>
      <c r="B111" s="86" t="s">
        <v>542</v>
      </c>
      <c r="C111" s="61">
        <f t="shared" si="16"/>
        <v>2000</v>
      </c>
      <c r="D111" s="84"/>
      <c r="E111" s="84"/>
      <c r="F111" s="84"/>
      <c r="G111" s="84"/>
      <c r="H111" s="84"/>
      <c r="I111" s="84">
        <v>2000</v>
      </c>
      <c r="J111" s="84"/>
      <c r="K111" s="61">
        <f t="shared" si="15"/>
        <v>0</v>
      </c>
      <c r="L111" s="84"/>
      <c r="M111" s="84"/>
      <c r="N111" s="61">
        <f t="shared" ref="N111:N117" si="31">O111+P111+S111+T111+U111+X111</f>
        <v>9500.851999999999</v>
      </c>
      <c r="O111" s="84"/>
      <c r="P111" s="84"/>
      <c r="Q111" s="84"/>
      <c r="R111" s="84"/>
      <c r="S111" s="84">
        <f>'[2]bieu 53_'!G25</f>
        <v>9500.851999999999</v>
      </c>
      <c r="T111" s="84"/>
      <c r="U111" s="61">
        <f t="shared" ref="U111:U118" si="32">V111+W111</f>
        <v>0</v>
      </c>
      <c r="V111" s="84"/>
      <c r="W111" s="84"/>
      <c r="X111" s="61">
        <f>Y111+Z111</f>
        <v>0</v>
      </c>
      <c r="Y111" s="84"/>
      <c r="Z111" s="84"/>
      <c r="AA111" s="84"/>
      <c r="AB111" s="69">
        <f t="shared" si="24"/>
        <v>475.04259999999994</v>
      </c>
      <c r="AC111" s="69"/>
      <c r="AD111" s="69"/>
      <c r="AE111" s="69"/>
    </row>
    <row r="112" spans="1:38" s="36" customFormat="1" ht="21" customHeight="1" x14ac:dyDescent="0.25">
      <c r="A112" s="85" t="s">
        <v>56</v>
      </c>
      <c r="B112" s="86" t="s">
        <v>380</v>
      </c>
      <c r="C112" s="61">
        <f t="shared" si="16"/>
        <v>1000</v>
      </c>
      <c r="D112" s="84"/>
      <c r="E112" s="84"/>
      <c r="F112" s="84"/>
      <c r="G112" s="84"/>
      <c r="H112" s="84"/>
      <c r="I112" s="84"/>
      <c r="J112" s="61">
        <v>1000</v>
      </c>
      <c r="K112" s="61">
        <f t="shared" si="15"/>
        <v>0</v>
      </c>
      <c r="L112" s="84"/>
      <c r="M112" s="84"/>
      <c r="N112" s="61">
        <f t="shared" si="31"/>
        <v>1000</v>
      </c>
      <c r="O112" s="84"/>
      <c r="P112" s="84">
        <f>Q112+R112</f>
        <v>0</v>
      </c>
      <c r="Q112" s="84"/>
      <c r="R112" s="84"/>
      <c r="S112" s="84"/>
      <c r="T112" s="84">
        <f>'[2]bieu 53_'!G26</f>
        <v>1000</v>
      </c>
      <c r="U112" s="61">
        <f t="shared" si="32"/>
        <v>0</v>
      </c>
      <c r="V112" s="84"/>
      <c r="W112" s="84"/>
      <c r="X112" s="61">
        <f>Y112+Z112</f>
        <v>0</v>
      </c>
      <c r="Y112" s="84"/>
      <c r="Z112" s="84"/>
      <c r="AA112" s="84"/>
      <c r="AB112" s="69">
        <f t="shared" si="24"/>
        <v>100</v>
      </c>
      <c r="AC112" s="69"/>
      <c r="AD112" s="69"/>
      <c r="AE112" s="69"/>
      <c r="AI112" s="9"/>
      <c r="AJ112" s="9"/>
      <c r="AK112" s="9"/>
      <c r="AL112" s="9"/>
    </row>
    <row r="113" spans="1:38" s="36" customFormat="1" x14ac:dyDescent="0.25">
      <c r="A113" s="85" t="s">
        <v>73</v>
      </c>
      <c r="B113" s="86" t="s">
        <v>381</v>
      </c>
      <c r="C113" s="61">
        <f>D113+J113+I113+E113+K113</f>
        <v>66785</v>
      </c>
      <c r="D113" s="84"/>
      <c r="F113" s="84"/>
      <c r="G113" s="84"/>
      <c r="H113" s="84"/>
      <c r="I113" s="84"/>
      <c r="J113" s="84">
        <v>66785</v>
      </c>
      <c r="K113" s="61">
        <f t="shared" si="15"/>
        <v>0</v>
      </c>
      <c r="L113" s="84"/>
      <c r="M113" s="84"/>
      <c r="N113" s="61">
        <f t="shared" si="31"/>
        <v>0</v>
      </c>
      <c r="O113" s="84"/>
      <c r="P113" s="84"/>
      <c r="Q113" s="84"/>
      <c r="R113" s="84"/>
      <c r="S113" s="84"/>
      <c r="T113" s="84"/>
      <c r="U113" s="61">
        <f t="shared" si="32"/>
        <v>0</v>
      </c>
      <c r="V113" s="84"/>
      <c r="W113" s="84"/>
      <c r="X113" s="61">
        <f>Y113+Z113</f>
        <v>0</v>
      </c>
      <c r="Y113" s="84"/>
      <c r="Z113" s="84"/>
      <c r="AA113" s="84"/>
      <c r="AB113" s="69">
        <f t="shared" si="24"/>
        <v>0</v>
      </c>
      <c r="AC113" s="69"/>
      <c r="AD113" s="69"/>
      <c r="AE113" s="69"/>
      <c r="AI113" s="9"/>
      <c r="AJ113" s="9"/>
      <c r="AK113" s="9"/>
      <c r="AL113" s="9"/>
    </row>
    <row r="114" spans="1:38" s="36" customFormat="1" ht="31.5" x14ac:dyDescent="0.25">
      <c r="A114" s="85" t="s">
        <v>74</v>
      </c>
      <c r="B114" s="86" t="s">
        <v>543</v>
      </c>
      <c r="C114" s="61">
        <f>D114+J114+I114+E114+K114</f>
        <v>39000</v>
      </c>
      <c r="D114" s="84"/>
      <c r="F114" s="84"/>
      <c r="G114" s="84"/>
      <c r="H114" s="84"/>
      <c r="I114" s="84"/>
      <c r="J114" s="84">
        <v>39000</v>
      </c>
      <c r="K114" s="61"/>
      <c r="L114" s="84"/>
      <c r="M114" s="84"/>
      <c r="N114" s="61">
        <f t="shared" si="31"/>
        <v>0</v>
      </c>
      <c r="O114" s="84"/>
      <c r="P114" s="84"/>
      <c r="Q114" s="84"/>
      <c r="R114" s="84"/>
      <c r="S114" s="84"/>
      <c r="T114" s="84"/>
      <c r="U114" s="61"/>
      <c r="V114" s="84"/>
      <c r="W114" s="84"/>
      <c r="X114" s="61"/>
      <c r="Y114" s="84"/>
      <c r="Z114" s="84"/>
      <c r="AA114" s="84"/>
      <c r="AB114" s="69">
        <f t="shared" si="24"/>
        <v>0</v>
      </c>
      <c r="AC114" s="69"/>
      <c r="AD114" s="69"/>
      <c r="AE114" s="69"/>
      <c r="AI114" s="9"/>
      <c r="AJ114" s="9"/>
      <c r="AK114" s="9"/>
      <c r="AL114" s="9"/>
    </row>
    <row r="115" spans="1:38" s="36" customFormat="1" ht="31.5" x14ac:dyDescent="0.25">
      <c r="A115" s="85" t="s">
        <v>383</v>
      </c>
      <c r="B115" s="86" t="s">
        <v>544</v>
      </c>
      <c r="C115" s="61">
        <f t="shared" ref="C115:C118" si="33">D115+J115+I115+E115+K115</f>
        <v>0</v>
      </c>
      <c r="D115" s="84"/>
      <c r="F115" s="84"/>
      <c r="G115" s="84"/>
      <c r="H115" s="84"/>
      <c r="I115" s="84"/>
      <c r="J115" s="84"/>
      <c r="K115" s="61"/>
      <c r="L115" s="84"/>
      <c r="M115" s="84"/>
      <c r="N115" s="61">
        <f t="shared" si="31"/>
        <v>11900</v>
      </c>
      <c r="O115" s="84"/>
      <c r="P115" s="84"/>
      <c r="Q115" s="84"/>
      <c r="R115" s="84"/>
      <c r="S115" s="84"/>
      <c r="T115" s="84">
        <v>11900</v>
      </c>
      <c r="U115" s="61"/>
      <c r="V115" s="84"/>
      <c r="W115" s="84"/>
      <c r="X115" s="61"/>
      <c r="Y115" s="84"/>
      <c r="Z115" s="84"/>
      <c r="AA115" s="84"/>
      <c r="AB115" s="69"/>
      <c r="AC115" s="69"/>
      <c r="AD115" s="69"/>
      <c r="AE115" s="69"/>
      <c r="AI115" s="9"/>
      <c r="AJ115" s="9"/>
      <c r="AK115" s="9"/>
      <c r="AL115" s="9"/>
    </row>
    <row r="116" spans="1:38" s="36" customFormat="1" ht="31.5" x14ac:dyDescent="0.25">
      <c r="A116" s="85" t="s">
        <v>384</v>
      </c>
      <c r="B116" s="86" t="s">
        <v>382</v>
      </c>
      <c r="C116" s="61">
        <f t="shared" si="33"/>
        <v>359544</v>
      </c>
      <c r="D116" s="84"/>
      <c r="E116" s="84"/>
      <c r="F116" s="84"/>
      <c r="G116" s="84"/>
      <c r="H116" s="84"/>
      <c r="I116" s="84"/>
      <c r="J116" s="61">
        <v>359544</v>
      </c>
      <c r="K116" s="61">
        <f t="shared" si="15"/>
        <v>0</v>
      </c>
      <c r="L116" s="84"/>
      <c r="M116" s="84"/>
      <c r="N116" s="61">
        <f t="shared" si="31"/>
        <v>533490.10800000001</v>
      </c>
      <c r="O116" s="84"/>
      <c r="P116" s="84"/>
      <c r="Q116" s="84"/>
      <c r="R116" s="84"/>
      <c r="S116" s="84"/>
      <c r="T116" s="84">
        <v>533490.10800000001</v>
      </c>
      <c r="U116" s="61">
        <f t="shared" si="32"/>
        <v>0</v>
      </c>
      <c r="V116" s="84"/>
      <c r="W116" s="84"/>
      <c r="X116" s="61"/>
      <c r="Y116" s="84"/>
      <c r="Z116" s="84"/>
      <c r="AA116" s="84"/>
      <c r="AB116" s="69">
        <f t="shared" si="24"/>
        <v>148.37964421600694</v>
      </c>
      <c r="AC116" s="69"/>
      <c r="AD116" s="69"/>
      <c r="AE116" s="69"/>
      <c r="AI116" s="9"/>
      <c r="AJ116" s="9"/>
      <c r="AK116" s="9"/>
      <c r="AL116" s="9"/>
    </row>
    <row r="117" spans="1:38" s="36" customFormat="1" ht="31.5" x14ac:dyDescent="0.25">
      <c r="A117" s="87" t="s">
        <v>509</v>
      </c>
      <c r="B117" s="88" t="s">
        <v>102</v>
      </c>
      <c r="C117" s="61">
        <f t="shared" si="33"/>
        <v>0</v>
      </c>
      <c r="D117" s="90"/>
      <c r="E117" s="90"/>
      <c r="F117" s="90"/>
      <c r="G117" s="90"/>
      <c r="H117" s="90"/>
      <c r="I117" s="90"/>
      <c r="J117" s="90"/>
      <c r="K117" s="89">
        <f t="shared" si="15"/>
        <v>0</v>
      </c>
      <c r="L117" s="90"/>
      <c r="M117" s="90"/>
      <c r="N117" s="61">
        <f t="shared" si="31"/>
        <v>1326874.6171550001</v>
      </c>
      <c r="O117" s="90"/>
      <c r="P117" s="90"/>
      <c r="Q117" s="90"/>
      <c r="R117" s="90"/>
      <c r="S117" s="90"/>
      <c r="T117" s="90"/>
      <c r="U117" s="89">
        <f t="shared" si="32"/>
        <v>0</v>
      </c>
      <c r="V117" s="90"/>
      <c r="W117" s="90"/>
      <c r="X117" s="90">
        <f>'[2]bieu 53_'!G106</f>
        <v>1326874.6171550001</v>
      </c>
      <c r="Y117" s="90"/>
      <c r="Z117" s="90"/>
      <c r="AA117" s="90"/>
      <c r="AB117" s="69"/>
      <c r="AC117" s="69"/>
      <c r="AD117" s="69"/>
      <c r="AE117" s="69"/>
      <c r="AI117" s="9"/>
      <c r="AJ117" s="9"/>
      <c r="AK117" s="9"/>
      <c r="AL117" s="9"/>
    </row>
    <row r="118" spans="1:38" x14ac:dyDescent="0.25">
      <c r="A118" s="91" t="s">
        <v>545</v>
      </c>
      <c r="B118" s="92" t="s">
        <v>226</v>
      </c>
      <c r="C118" s="93">
        <f t="shared" si="33"/>
        <v>0</v>
      </c>
      <c r="D118" s="94"/>
      <c r="E118" s="94"/>
      <c r="F118" s="94"/>
      <c r="G118" s="94"/>
      <c r="H118" s="94"/>
      <c r="I118" s="94"/>
      <c r="J118" s="94"/>
      <c r="K118" s="93">
        <f t="shared" si="15"/>
        <v>0</v>
      </c>
      <c r="L118" s="94"/>
      <c r="M118" s="94"/>
      <c r="N118" s="93">
        <f>O118+P118+S118+T118+U118+X118+AA118</f>
        <v>331567.81606899999</v>
      </c>
      <c r="O118" s="94"/>
      <c r="P118" s="94"/>
      <c r="Q118" s="94"/>
      <c r="R118" s="94"/>
      <c r="S118" s="94"/>
      <c r="T118" s="94"/>
      <c r="U118" s="93">
        <f t="shared" si="32"/>
        <v>0</v>
      </c>
      <c r="V118" s="94"/>
      <c r="W118" s="94"/>
      <c r="X118" s="94"/>
      <c r="Y118" s="94"/>
      <c r="Z118" s="94"/>
      <c r="AA118" s="94">
        <f>'[2]bieu 53_'!G107</f>
        <v>331567.81606899999</v>
      </c>
      <c r="AB118" s="95"/>
      <c r="AC118" s="95"/>
      <c r="AD118" s="95"/>
      <c r="AE118" s="95"/>
    </row>
    <row r="119" spans="1:38" ht="51" customHeight="1" x14ac:dyDescent="0.25"/>
    <row r="120" spans="1:38" x14ac:dyDescent="0.25">
      <c r="B120" s="350"/>
      <c r="C120" s="350"/>
      <c r="D120" s="350"/>
      <c r="E120" s="350"/>
      <c r="F120" s="350"/>
      <c r="G120" s="350"/>
      <c r="H120" s="350"/>
      <c r="I120" s="350"/>
      <c r="J120" s="350"/>
      <c r="K120" s="350"/>
      <c r="L120" s="350"/>
      <c r="M120" s="350"/>
      <c r="N120" s="350"/>
      <c r="O120" s="350"/>
      <c r="P120" s="350"/>
      <c r="Q120" s="350"/>
      <c r="R120" s="350"/>
      <c r="S120" s="350"/>
      <c r="T120" s="350"/>
      <c r="U120" s="350"/>
      <c r="V120" s="350"/>
      <c r="W120" s="350"/>
      <c r="X120" s="350"/>
      <c r="Y120" s="350"/>
      <c r="Z120" s="350"/>
      <c r="AA120" s="350"/>
      <c r="AB120" s="350"/>
      <c r="AC120" s="350"/>
      <c r="AD120" s="350"/>
      <c r="AE120" s="350"/>
    </row>
    <row r="123" spans="1:38" x14ac:dyDescent="0.25">
      <c r="N123" s="6"/>
    </row>
  </sheetData>
  <mergeCells count="33">
    <mergeCell ref="A7:A9"/>
    <mergeCell ref="B7:B9"/>
    <mergeCell ref="C7:M7"/>
    <mergeCell ref="N7:X7"/>
    <mergeCell ref="AB7:AE7"/>
    <mergeCell ref="Q8:R8"/>
    <mergeCell ref="C8:C9"/>
    <mergeCell ref="D8:D9"/>
    <mergeCell ref="E8:E9"/>
    <mergeCell ref="F8:F9"/>
    <mergeCell ref="G8:H8"/>
    <mergeCell ref="I8:I9"/>
    <mergeCell ref="AB8:AB9"/>
    <mergeCell ref="AC8:AC9"/>
    <mergeCell ref="AD8:AD9"/>
    <mergeCell ref="AE8:AE9"/>
    <mergeCell ref="B1:C1"/>
    <mergeCell ref="A3:AE3"/>
    <mergeCell ref="A4:AE4"/>
    <mergeCell ref="AB6:AC6"/>
    <mergeCell ref="AD6:AE6"/>
    <mergeCell ref="B120:AE120"/>
    <mergeCell ref="S8:S9"/>
    <mergeCell ref="T8:T9"/>
    <mergeCell ref="U8:W8"/>
    <mergeCell ref="X8:X9"/>
    <mergeCell ref="Y8:Z8"/>
    <mergeCell ref="AA8:AA9"/>
    <mergeCell ref="J8:J9"/>
    <mergeCell ref="K8:M8"/>
    <mergeCell ref="N8:N9"/>
    <mergeCell ref="O8:O9"/>
    <mergeCell ref="P8:P9"/>
  </mergeCells>
  <dataValidations count="6">
    <dataValidation allowBlank="1" showInputMessage="1" showErrorMessage="1" prompt="Bao gồm cả BS cân đối để khớp với tổng chi NS tỉnh" sqref="T116" xr:uid="{00000000-0002-0000-0900-000000000000}"/>
    <dataValidation allowBlank="1" showInputMessage="1" showErrorMessage="1" prompt="Bộ Quốc phòng_x000a_" sqref="Q43" xr:uid="{00000000-0002-0000-0900-000001000000}"/>
    <dataValidation allowBlank="1" showInputMessage="1" showErrorMessage="1" prompt="Bao gồm Văn phòng điều phối CT MTQG NTM" sqref="M14" xr:uid="{00000000-0002-0000-0900-000002000000}"/>
    <dataValidation allowBlank="1" showInputMessage="1" showErrorMessage="1" prompt="Bao gồm: tăng 300tr. đồng Ghi thu ghi chi quyền sử dụng đất khai thác quỹ đất khu phía Nam cầu Đăk bla (Thường xuyên)" sqref="R71" xr:uid="{00000000-0002-0000-0900-000003000000}"/>
    <dataValidation allowBlank="1" showInputMessage="1" showErrorMessage="1" prompt="Theo TT 343 BTC các lĩnh vực  Công an tỉnh, Bộ chỉ huy quân sự tỉnh; Bộ chỉ huy biên phòng tỉnh, Ban Chỉ đạo phân giới, cắm mổc tỉnh (Việt nam - Lào), Ban chỉ đạo phân giới, cắm mổc tỉnh (Viêt nam - Cam Pu Chia) không công khai QT" sqref="WVQ982896 C65392 JE65392 TA65392 ACW65392 AMS65392 AWO65392 BGK65392 BQG65392 CAC65392 CJY65392 CTU65392 DDQ65392 DNM65392 DXI65392 EHE65392 ERA65392 FAW65392 FKS65392 FUO65392 GEK65392 GOG65392 GYC65392 HHY65392 HRU65392 IBQ65392 ILM65392 IVI65392 JFE65392 JPA65392 JYW65392 KIS65392 KSO65392 LCK65392 LMG65392 LWC65392 MFY65392 MPU65392 MZQ65392 NJM65392 NTI65392 ODE65392 ONA65392 OWW65392 PGS65392 PQO65392 QAK65392 QKG65392 QUC65392 RDY65392 RNU65392 RXQ65392 SHM65392 SRI65392 TBE65392 TLA65392 TUW65392 UES65392 UOO65392 UYK65392 VIG65392 VSC65392 WBY65392 WLU65392 WVQ65392 C130928 JE130928 TA130928 ACW130928 AMS130928 AWO130928 BGK130928 BQG130928 CAC130928 CJY130928 CTU130928 DDQ130928 DNM130928 DXI130928 EHE130928 ERA130928 FAW130928 FKS130928 FUO130928 GEK130928 GOG130928 GYC130928 HHY130928 HRU130928 IBQ130928 ILM130928 IVI130928 JFE130928 JPA130928 JYW130928 KIS130928 KSO130928 LCK130928 LMG130928 LWC130928 MFY130928 MPU130928 MZQ130928 NJM130928 NTI130928 ODE130928 ONA130928 OWW130928 PGS130928 PQO130928 QAK130928 QKG130928 QUC130928 RDY130928 RNU130928 RXQ130928 SHM130928 SRI130928 TBE130928 TLA130928 TUW130928 UES130928 UOO130928 UYK130928 VIG130928 VSC130928 WBY130928 WLU130928 WVQ130928 C196464 JE196464 TA196464 ACW196464 AMS196464 AWO196464 BGK196464 BQG196464 CAC196464 CJY196464 CTU196464 DDQ196464 DNM196464 DXI196464 EHE196464 ERA196464 FAW196464 FKS196464 FUO196464 GEK196464 GOG196464 GYC196464 HHY196464 HRU196464 IBQ196464 ILM196464 IVI196464 JFE196464 JPA196464 JYW196464 KIS196464 KSO196464 LCK196464 LMG196464 LWC196464 MFY196464 MPU196464 MZQ196464 NJM196464 NTI196464 ODE196464 ONA196464 OWW196464 PGS196464 PQO196464 QAK196464 QKG196464 QUC196464 RDY196464 RNU196464 RXQ196464 SHM196464 SRI196464 TBE196464 TLA196464 TUW196464 UES196464 UOO196464 UYK196464 VIG196464 VSC196464 WBY196464 WLU196464 WVQ196464 C262000 JE262000 TA262000 ACW262000 AMS262000 AWO262000 BGK262000 BQG262000 CAC262000 CJY262000 CTU262000 DDQ262000 DNM262000 DXI262000 EHE262000 ERA262000 FAW262000 FKS262000 FUO262000 GEK262000 GOG262000 GYC262000 HHY262000 HRU262000 IBQ262000 ILM262000 IVI262000 JFE262000 JPA262000 JYW262000 KIS262000 KSO262000 LCK262000 LMG262000 LWC262000 MFY262000 MPU262000 MZQ262000 NJM262000 NTI262000 ODE262000 ONA262000 OWW262000 PGS262000 PQO262000 QAK262000 QKG262000 QUC262000 RDY262000 RNU262000 RXQ262000 SHM262000 SRI262000 TBE262000 TLA262000 TUW262000 UES262000 UOO262000 UYK262000 VIG262000 VSC262000 WBY262000 WLU262000 WVQ262000 C327536 JE327536 TA327536 ACW327536 AMS327536 AWO327536 BGK327536 BQG327536 CAC327536 CJY327536 CTU327536 DDQ327536 DNM327536 DXI327536 EHE327536 ERA327536 FAW327536 FKS327536 FUO327536 GEK327536 GOG327536 GYC327536 HHY327536 HRU327536 IBQ327536 ILM327536 IVI327536 JFE327536 JPA327536 JYW327536 KIS327536 KSO327536 LCK327536 LMG327536 LWC327536 MFY327536 MPU327536 MZQ327536 NJM327536 NTI327536 ODE327536 ONA327536 OWW327536 PGS327536 PQO327536 QAK327536 QKG327536 QUC327536 RDY327536 RNU327536 RXQ327536 SHM327536 SRI327536 TBE327536 TLA327536 TUW327536 UES327536 UOO327536 UYK327536 VIG327536 VSC327536 WBY327536 WLU327536 WVQ327536 C393072 JE393072 TA393072 ACW393072 AMS393072 AWO393072 BGK393072 BQG393072 CAC393072 CJY393072 CTU393072 DDQ393072 DNM393072 DXI393072 EHE393072 ERA393072 FAW393072 FKS393072 FUO393072 GEK393072 GOG393072 GYC393072 HHY393072 HRU393072 IBQ393072 ILM393072 IVI393072 JFE393072 JPA393072 JYW393072 KIS393072 KSO393072 LCK393072 LMG393072 LWC393072 MFY393072 MPU393072 MZQ393072 NJM393072 NTI393072 ODE393072 ONA393072 OWW393072 PGS393072 PQO393072 QAK393072 QKG393072 QUC393072 RDY393072 RNU393072 RXQ393072 SHM393072 SRI393072 TBE393072 TLA393072 TUW393072 UES393072 UOO393072 UYK393072 VIG393072 VSC393072 WBY393072 WLU393072 WVQ393072 C458608 JE458608 TA458608 ACW458608 AMS458608 AWO458608 BGK458608 BQG458608 CAC458608 CJY458608 CTU458608 DDQ458608 DNM458608 DXI458608 EHE458608 ERA458608 FAW458608 FKS458608 FUO458608 GEK458608 GOG458608 GYC458608 HHY458608 HRU458608 IBQ458608 ILM458608 IVI458608 JFE458608 JPA458608 JYW458608 KIS458608 KSO458608 LCK458608 LMG458608 LWC458608 MFY458608 MPU458608 MZQ458608 NJM458608 NTI458608 ODE458608 ONA458608 OWW458608 PGS458608 PQO458608 QAK458608 QKG458608 QUC458608 RDY458608 RNU458608 RXQ458608 SHM458608 SRI458608 TBE458608 TLA458608 TUW458608 UES458608 UOO458608 UYK458608 VIG458608 VSC458608 WBY458608 WLU458608 WVQ458608 C524144 JE524144 TA524144 ACW524144 AMS524144 AWO524144 BGK524144 BQG524144 CAC524144 CJY524144 CTU524144 DDQ524144 DNM524144 DXI524144 EHE524144 ERA524144 FAW524144 FKS524144 FUO524144 GEK524144 GOG524144 GYC524144 HHY524144 HRU524144 IBQ524144 ILM524144 IVI524144 JFE524144 JPA524144 JYW524144 KIS524144 KSO524144 LCK524144 LMG524144 LWC524144 MFY524144 MPU524144 MZQ524144 NJM524144 NTI524144 ODE524144 ONA524144 OWW524144 PGS524144 PQO524144 QAK524144 QKG524144 QUC524144 RDY524144 RNU524144 RXQ524144 SHM524144 SRI524144 TBE524144 TLA524144 TUW524144 UES524144 UOO524144 UYK524144 VIG524144 VSC524144 WBY524144 WLU524144 WVQ524144 C589680 JE589680 TA589680 ACW589680 AMS589680 AWO589680 BGK589680 BQG589680 CAC589680 CJY589680 CTU589680 DDQ589680 DNM589680 DXI589680 EHE589680 ERA589680 FAW589680 FKS589680 FUO589680 GEK589680 GOG589680 GYC589680 HHY589680 HRU589680 IBQ589680 ILM589680 IVI589680 JFE589680 JPA589680 JYW589680 KIS589680 KSO589680 LCK589680 LMG589680 LWC589680 MFY589680 MPU589680 MZQ589680 NJM589680 NTI589680 ODE589680 ONA589680 OWW589680 PGS589680 PQO589680 QAK589680 QKG589680 QUC589680 RDY589680 RNU589680 RXQ589680 SHM589680 SRI589680 TBE589680 TLA589680 TUW589680 UES589680 UOO589680 UYK589680 VIG589680 VSC589680 WBY589680 WLU589680 WVQ589680 C655216 JE655216 TA655216 ACW655216 AMS655216 AWO655216 BGK655216 BQG655216 CAC655216 CJY655216 CTU655216 DDQ655216 DNM655216 DXI655216 EHE655216 ERA655216 FAW655216 FKS655216 FUO655216 GEK655216 GOG655216 GYC655216 HHY655216 HRU655216 IBQ655216 ILM655216 IVI655216 JFE655216 JPA655216 JYW655216 KIS655216 KSO655216 LCK655216 LMG655216 LWC655216 MFY655216 MPU655216 MZQ655216 NJM655216 NTI655216 ODE655216 ONA655216 OWW655216 PGS655216 PQO655216 QAK655216 QKG655216 QUC655216 RDY655216 RNU655216 RXQ655216 SHM655216 SRI655216 TBE655216 TLA655216 TUW655216 UES655216 UOO655216 UYK655216 VIG655216 VSC655216 WBY655216 WLU655216 WVQ655216 C720752 JE720752 TA720752 ACW720752 AMS720752 AWO720752 BGK720752 BQG720752 CAC720752 CJY720752 CTU720752 DDQ720752 DNM720752 DXI720752 EHE720752 ERA720752 FAW720752 FKS720752 FUO720752 GEK720752 GOG720752 GYC720752 HHY720752 HRU720752 IBQ720752 ILM720752 IVI720752 JFE720752 JPA720752 JYW720752 KIS720752 KSO720752 LCK720752 LMG720752 LWC720752 MFY720752 MPU720752 MZQ720752 NJM720752 NTI720752 ODE720752 ONA720752 OWW720752 PGS720752 PQO720752 QAK720752 QKG720752 QUC720752 RDY720752 RNU720752 RXQ720752 SHM720752 SRI720752 TBE720752 TLA720752 TUW720752 UES720752 UOO720752 UYK720752 VIG720752 VSC720752 WBY720752 WLU720752 WVQ720752 C786288 JE786288 TA786288 ACW786288 AMS786288 AWO786288 BGK786288 BQG786288 CAC786288 CJY786288 CTU786288 DDQ786288 DNM786288 DXI786288 EHE786288 ERA786288 FAW786288 FKS786288 FUO786288 GEK786288 GOG786288 GYC786288 HHY786288 HRU786288 IBQ786288 ILM786288 IVI786288 JFE786288 JPA786288 JYW786288 KIS786288 KSO786288 LCK786288 LMG786288 LWC786288 MFY786288 MPU786288 MZQ786288 NJM786288 NTI786288 ODE786288 ONA786288 OWW786288 PGS786288 PQO786288 QAK786288 QKG786288 QUC786288 RDY786288 RNU786288 RXQ786288 SHM786288 SRI786288 TBE786288 TLA786288 TUW786288 UES786288 UOO786288 UYK786288 VIG786288 VSC786288 WBY786288 WLU786288 WVQ786288 C851824 JE851824 TA851824 ACW851824 AMS851824 AWO851824 BGK851824 BQG851824 CAC851824 CJY851824 CTU851824 DDQ851824 DNM851824 DXI851824 EHE851824 ERA851824 FAW851824 FKS851824 FUO851824 GEK851824 GOG851824 GYC851824 HHY851824 HRU851824 IBQ851824 ILM851824 IVI851824 JFE851824 JPA851824 JYW851824 KIS851824 KSO851824 LCK851824 LMG851824 LWC851824 MFY851824 MPU851824 MZQ851824 NJM851824 NTI851824 ODE851824 ONA851824 OWW851824 PGS851824 PQO851824 QAK851824 QKG851824 QUC851824 RDY851824 RNU851824 RXQ851824 SHM851824 SRI851824 TBE851824 TLA851824 TUW851824 UES851824 UOO851824 UYK851824 VIG851824 VSC851824 WBY851824 WLU851824 WVQ851824 C917360 JE917360 TA917360 ACW917360 AMS917360 AWO917360 BGK917360 BQG917360 CAC917360 CJY917360 CTU917360 DDQ917360 DNM917360 DXI917360 EHE917360 ERA917360 FAW917360 FKS917360 FUO917360 GEK917360 GOG917360 GYC917360 HHY917360 HRU917360 IBQ917360 ILM917360 IVI917360 JFE917360 JPA917360 JYW917360 KIS917360 KSO917360 LCK917360 LMG917360 LWC917360 MFY917360 MPU917360 MZQ917360 NJM917360 NTI917360 ODE917360 ONA917360 OWW917360 PGS917360 PQO917360 QAK917360 QKG917360 QUC917360 RDY917360 RNU917360 RXQ917360 SHM917360 SRI917360 TBE917360 TLA917360 TUW917360 UES917360 UOO917360 UYK917360 VIG917360 VSC917360 WBY917360 WLU917360 WVQ917360 C982896 JE982896 TA982896 ACW982896 AMS982896 AWO982896 BGK982896 BQG982896 CAC982896 CJY982896 CTU982896 DDQ982896 DNM982896 DXI982896 EHE982896 ERA982896 FAW982896 FKS982896 FUO982896 GEK982896 GOG982896 GYC982896 HHY982896 HRU982896 IBQ982896 ILM982896 IVI982896 JFE982896 JPA982896 JYW982896 KIS982896 KSO982896 LCK982896 LMG982896 LWC982896 MFY982896 MPU982896 MZQ982896 NJM982896 NTI982896 ODE982896 ONA982896 OWW982896 PGS982896 PQO982896 QAK982896 QKG982896 QUC982896 RDY982896 RNU982896 RXQ982896 SHM982896 SRI982896 TBE982896 TLA982896 TUW982896 UES982896 UOO982896 UYK982896 VIG982896 VSC982896 WBY982896 WLU982896 WBY13:WBY90 VSC13:VSC90 VIG13:VIG90 UYK13:UYK90 UOO13:UOO90 UES13:UES90 TUW13:TUW90 TLA13:TLA90 TBE13:TBE90 SRI13:SRI90 SHM13:SHM90 RXQ13:RXQ90 RNU13:RNU90 RDY13:RDY90 QUC13:QUC90 QKG13:QKG90 QAK13:QAK90 PQO13:PQO90 PGS13:PGS90 OWW13:OWW90 ONA13:ONA90 ODE13:ODE90 NTI13:NTI90 NJM13:NJM90 MZQ13:MZQ90 MPU13:MPU90 MFY13:MFY90 LWC13:LWC90 LMG13:LMG90 LCK13:LCK90 KSO13:KSO90 KIS13:KIS90 JYW13:JYW90 JPA13:JPA90 JFE13:JFE90 IVI13:IVI90 ILM13:ILM90 IBQ13:IBQ90 HRU13:HRU90 HHY13:HHY90 GYC13:GYC90 GOG13:GOG90 GEK13:GEK90 FUO13:FUO90 FKS13:FKS90 FAW13:FAW90 ERA13:ERA90 EHE13:EHE90 DXI13:DXI90 DNM13:DNM90 DDQ13:DDQ90 CTU13:CTU90 CJY13:CJY90 CAC13:CAC90 BQG13:BQG90 BGK13:BGK90 AWO13:AWO90 AMS13:AMS90 ACW13:ACW90 TA13:TA90 JE13:JE90 WVQ13:WVQ90 WLU13:WLU90" xr:uid="{00000000-0002-0000-0900-000004000000}"/>
    <dataValidation allowBlank="1" showInputMessage="1" showErrorMessage="1" prompt="_x000a_" sqref="O36" xr:uid="{00000000-0002-0000-0900-000005000000}"/>
  </dataValidations>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80"/>
  <sheetViews>
    <sheetView zoomScale="85" zoomScaleNormal="85" workbookViewId="0">
      <pane xSplit="2" ySplit="8" topLeftCell="C9" activePane="bottomRight" state="frozen"/>
      <selection pane="topRight" activeCell="C1" sqref="C1"/>
      <selection pane="bottomLeft" activeCell="A9" sqref="A9"/>
      <selection pane="bottomRight" activeCell="A4" sqref="A4:H4"/>
    </sheetView>
  </sheetViews>
  <sheetFormatPr defaultColWidth="9.140625" defaultRowHeight="15.75" outlineLevelRow="1" x14ac:dyDescent="0.25"/>
  <cols>
    <col min="1" max="1" width="5.85546875" style="9" customWidth="1"/>
    <col min="2" max="2" width="49" style="9" customWidth="1"/>
    <col min="3" max="3" width="15.85546875" style="9" customWidth="1"/>
    <col min="4" max="4" width="14.7109375" style="9" customWidth="1"/>
    <col min="5" max="5" width="15.28515625" style="7" customWidth="1"/>
    <col min="6" max="6" width="15.5703125" style="7" customWidth="1"/>
    <col min="7" max="7" width="13" style="9" customWidth="1"/>
    <col min="8" max="8" width="12.28515625" style="9" customWidth="1"/>
    <col min="9" max="9" width="9.140625" style="9"/>
    <col min="10" max="10" width="18.42578125" style="10" customWidth="1"/>
    <col min="11" max="16384" width="9.140625" style="9"/>
  </cols>
  <sheetData>
    <row r="1" spans="1:10" x14ac:dyDescent="0.25">
      <c r="A1" s="15"/>
      <c r="C1" s="6"/>
      <c r="D1" s="6"/>
      <c r="F1" s="8" t="s">
        <v>34</v>
      </c>
      <c r="J1" s="9"/>
    </row>
    <row r="2" spans="1:10" ht="9" customHeight="1" x14ac:dyDescent="0.25">
      <c r="A2" s="16"/>
      <c r="J2" s="9"/>
    </row>
    <row r="3" spans="1:10" ht="16.5" x14ac:dyDescent="0.25">
      <c r="A3" s="318" t="s">
        <v>649</v>
      </c>
      <c r="B3" s="318"/>
      <c r="C3" s="318"/>
      <c r="D3" s="318"/>
      <c r="E3" s="318"/>
      <c r="F3" s="318"/>
      <c r="G3" s="318"/>
      <c r="H3" s="318"/>
      <c r="J3" s="9"/>
    </row>
    <row r="4" spans="1:10" x14ac:dyDescent="0.25">
      <c r="A4" s="319" t="s">
        <v>708</v>
      </c>
      <c r="B4" s="319"/>
      <c r="C4" s="319"/>
      <c r="D4" s="319"/>
      <c r="E4" s="319"/>
      <c r="F4" s="319"/>
      <c r="G4" s="319"/>
      <c r="H4" s="319"/>
      <c r="J4" s="9"/>
    </row>
    <row r="5" spans="1:10" x14ac:dyDescent="0.25">
      <c r="B5" s="2"/>
      <c r="C5" s="10"/>
      <c r="D5" s="10"/>
      <c r="E5" s="10"/>
      <c r="F5" s="10"/>
      <c r="G5" s="11" t="s">
        <v>1</v>
      </c>
      <c r="J5" s="9"/>
    </row>
    <row r="6" spans="1:10" s="37" customFormat="1" ht="15.75" customHeight="1" x14ac:dyDescent="0.25">
      <c r="A6" s="320" t="s">
        <v>2</v>
      </c>
      <c r="B6" s="320" t="s">
        <v>123</v>
      </c>
      <c r="C6" s="320" t="s">
        <v>107</v>
      </c>
      <c r="D6" s="320"/>
      <c r="E6" s="320" t="s">
        <v>108</v>
      </c>
      <c r="F6" s="320"/>
      <c r="G6" s="320" t="s">
        <v>109</v>
      </c>
      <c r="H6" s="320"/>
    </row>
    <row r="7" spans="1:10" s="37" customFormat="1" ht="36.6" customHeight="1" x14ac:dyDescent="0.25">
      <c r="A7" s="320"/>
      <c r="B7" s="320"/>
      <c r="C7" s="222" t="s">
        <v>174</v>
      </c>
      <c r="D7" s="222" t="s">
        <v>156</v>
      </c>
      <c r="E7" s="222" t="s">
        <v>174</v>
      </c>
      <c r="F7" s="222" t="s">
        <v>156</v>
      </c>
      <c r="G7" s="222" t="s">
        <v>174</v>
      </c>
      <c r="H7" s="222" t="s">
        <v>156</v>
      </c>
      <c r="I7" s="47"/>
    </row>
    <row r="8" spans="1:10" s="37" customFormat="1" x14ac:dyDescent="0.25">
      <c r="A8" s="223" t="s">
        <v>7</v>
      </c>
      <c r="B8" s="223" t="s">
        <v>8</v>
      </c>
      <c r="C8" s="223">
        <v>1</v>
      </c>
      <c r="D8" s="223">
        <v>2</v>
      </c>
      <c r="E8" s="223">
        <v>3</v>
      </c>
      <c r="F8" s="223">
        <v>4</v>
      </c>
      <c r="G8" s="223" t="s">
        <v>36</v>
      </c>
      <c r="H8" s="223" t="s">
        <v>37</v>
      </c>
    </row>
    <row r="9" spans="1:10" s="37" customFormat="1" ht="25.9" customHeight="1" x14ac:dyDescent="0.25">
      <c r="A9" s="257"/>
      <c r="B9" s="258" t="s">
        <v>175</v>
      </c>
      <c r="C9" s="259">
        <v>4500000</v>
      </c>
      <c r="D9" s="259">
        <v>4014300</v>
      </c>
      <c r="E9" s="259">
        <v>7021575.2350979988</v>
      </c>
      <c r="F9" s="259">
        <v>6515778.0773869995</v>
      </c>
      <c r="G9" s="260">
        <v>156.03500522439998</v>
      </c>
      <c r="H9" s="261">
        <v>162.31417874565926</v>
      </c>
      <c r="I9" s="38"/>
    </row>
    <row r="10" spans="1:10" s="40" customFormat="1" x14ac:dyDescent="0.25">
      <c r="A10" s="262" t="s">
        <v>7</v>
      </c>
      <c r="B10" s="263" t="s">
        <v>38</v>
      </c>
      <c r="C10" s="264">
        <v>4500000</v>
      </c>
      <c r="D10" s="264">
        <v>4014300</v>
      </c>
      <c r="E10" s="264">
        <v>3371656.4841979994</v>
      </c>
      <c r="F10" s="264">
        <v>2865859.3264869996</v>
      </c>
      <c r="G10" s="265">
        <v>74.925699648844429</v>
      </c>
      <c r="H10" s="265">
        <v>71.391259409785008</v>
      </c>
      <c r="I10" s="39"/>
    </row>
    <row r="11" spans="1:10" s="40" customFormat="1" x14ac:dyDescent="0.25">
      <c r="A11" s="262" t="s">
        <v>39</v>
      </c>
      <c r="B11" s="263" t="s">
        <v>40</v>
      </c>
      <c r="C11" s="264">
        <v>4207000</v>
      </c>
      <c r="D11" s="264">
        <v>4014300</v>
      </c>
      <c r="E11" s="264">
        <v>2995649.0278319996</v>
      </c>
      <c r="F11" s="264">
        <v>2816359.3264869996</v>
      </c>
      <c r="G11" s="265">
        <v>71.206299686997852</v>
      </c>
      <c r="H11" s="265">
        <v>70.158167712602435</v>
      </c>
    </row>
    <row r="12" spans="1:10" s="37" customFormat="1" x14ac:dyDescent="0.25">
      <c r="A12" s="262">
        <v>1</v>
      </c>
      <c r="B12" s="263" t="s">
        <v>427</v>
      </c>
      <c r="C12" s="264">
        <v>702000</v>
      </c>
      <c r="D12" s="264">
        <v>702000</v>
      </c>
      <c r="E12" s="264">
        <v>781591.65902499994</v>
      </c>
      <c r="F12" s="264">
        <v>781591.55902500008</v>
      </c>
      <c r="G12" s="265">
        <v>111.33784316595441</v>
      </c>
      <c r="H12" s="265">
        <v>111.33782892094017</v>
      </c>
    </row>
    <row r="13" spans="1:10" s="37" customFormat="1" x14ac:dyDescent="0.25">
      <c r="A13" s="266" t="s">
        <v>78</v>
      </c>
      <c r="B13" s="267" t="s">
        <v>176</v>
      </c>
      <c r="C13" s="268">
        <v>304000</v>
      </c>
      <c r="D13" s="268">
        <v>304000</v>
      </c>
      <c r="E13" s="268">
        <v>332151.18342100002</v>
      </c>
      <c r="F13" s="268">
        <v>332151.18342100002</v>
      </c>
      <c r="G13" s="269">
        <v>109.26025770427631</v>
      </c>
      <c r="H13" s="269">
        <v>109.26025770427631</v>
      </c>
    </row>
    <row r="14" spans="1:10" s="37" customFormat="1" x14ac:dyDescent="0.25">
      <c r="A14" s="266" t="s">
        <v>79</v>
      </c>
      <c r="B14" s="267" t="s">
        <v>177</v>
      </c>
      <c r="C14" s="268">
        <v>15000</v>
      </c>
      <c r="D14" s="268">
        <v>15000</v>
      </c>
      <c r="E14" s="268">
        <v>7719.0238549999995</v>
      </c>
      <c r="F14" s="268">
        <v>7719.0238549999995</v>
      </c>
      <c r="G14" s="269">
        <v>51.460159033333333</v>
      </c>
      <c r="H14" s="269">
        <v>51.460159033333333</v>
      </c>
    </row>
    <row r="15" spans="1:10" s="37" customFormat="1" x14ac:dyDescent="0.25">
      <c r="A15" s="266" t="s">
        <v>80</v>
      </c>
      <c r="B15" s="267" t="s">
        <v>178</v>
      </c>
      <c r="C15" s="268">
        <v>383000</v>
      </c>
      <c r="D15" s="268">
        <v>383000</v>
      </c>
      <c r="E15" s="268">
        <v>441721.451749</v>
      </c>
      <c r="F15" s="268">
        <v>441721.35174900002</v>
      </c>
      <c r="G15" s="269">
        <v>115.33197173603133</v>
      </c>
      <c r="H15" s="269">
        <v>115.33194562637077</v>
      </c>
    </row>
    <row r="16" spans="1:10" s="37" customFormat="1" ht="15.75" hidden="1" customHeight="1" outlineLevel="1" x14ac:dyDescent="0.25">
      <c r="A16" s="270" t="s">
        <v>142</v>
      </c>
      <c r="B16" s="267" t="s">
        <v>179</v>
      </c>
      <c r="C16" s="268"/>
      <c r="D16" s="268">
        <v>0</v>
      </c>
      <c r="E16" s="268"/>
      <c r="F16" s="268"/>
      <c r="G16" s="269">
        <v>0</v>
      </c>
      <c r="H16" s="269">
        <v>0</v>
      </c>
    </row>
    <row r="17" spans="1:8" s="37" customFormat="1" ht="15.75" hidden="1" customHeight="1" outlineLevel="1" x14ac:dyDescent="0.25">
      <c r="A17" s="270" t="s">
        <v>142</v>
      </c>
      <c r="B17" s="267" t="s">
        <v>180</v>
      </c>
      <c r="C17" s="268"/>
      <c r="D17" s="268">
        <v>0</v>
      </c>
      <c r="E17" s="268"/>
      <c r="F17" s="268"/>
      <c r="G17" s="269">
        <v>0</v>
      </c>
      <c r="H17" s="269">
        <v>0</v>
      </c>
    </row>
    <row r="18" spans="1:8" s="37" customFormat="1" ht="31.5" collapsed="1" x14ac:dyDescent="0.25">
      <c r="A18" s="262">
        <v>2</v>
      </c>
      <c r="B18" s="263" t="s">
        <v>630</v>
      </c>
      <c r="C18" s="264">
        <v>50000</v>
      </c>
      <c r="D18" s="264">
        <v>50000</v>
      </c>
      <c r="E18" s="264">
        <v>56841.187715</v>
      </c>
      <c r="F18" s="264">
        <v>56840.787714999999</v>
      </c>
      <c r="G18" s="265">
        <v>113.68237542999999</v>
      </c>
      <c r="H18" s="265">
        <v>113.68157543</v>
      </c>
    </row>
    <row r="19" spans="1:8" s="37" customFormat="1" x14ac:dyDescent="0.25">
      <c r="A19" s="266" t="s">
        <v>138</v>
      </c>
      <c r="B19" s="267" t="s">
        <v>176</v>
      </c>
      <c r="C19" s="268">
        <v>35000</v>
      </c>
      <c r="D19" s="268">
        <v>35000</v>
      </c>
      <c r="E19" s="268">
        <v>37916.320470999999</v>
      </c>
      <c r="F19" s="268">
        <v>37915.920470999998</v>
      </c>
      <c r="G19" s="269">
        <v>108.33234420285713</v>
      </c>
      <c r="H19" s="269">
        <v>108.33120134571428</v>
      </c>
    </row>
    <row r="20" spans="1:8" s="37" customFormat="1" x14ac:dyDescent="0.25">
      <c r="A20" s="266" t="s">
        <v>139</v>
      </c>
      <c r="B20" s="267" t="s">
        <v>177</v>
      </c>
      <c r="C20" s="268">
        <v>14000</v>
      </c>
      <c r="D20" s="268">
        <v>14000</v>
      </c>
      <c r="E20" s="268">
        <v>18477.750156000002</v>
      </c>
      <c r="F20" s="268">
        <v>18477.750156000002</v>
      </c>
      <c r="G20" s="269">
        <v>131.98392968571432</v>
      </c>
      <c r="H20" s="269">
        <v>131.98392968571432</v>
      </c>
    </row>
    <row r="21" spans="1:8" s="37" customFormat="1" x14ac:dyDescent="0.25">
      <c r="A21" s="266" t="s">
        <v>140</v>
      </c>
      <c r="B21" s="267" t="s">
        <v>178</v>
      </c>
      <c r="C21" s="268">
        <v>1000</v>
      </c>
      <c r="D21" s="268">
        <v>1000</v>
      </c>
      <c r="E21" s="268">
        <v>447.11708800000002</v>
      </c>
      <c r="F21" s="268">
        <v>447.11708800000002</v>
      </c>
      <c r="G21" s="269">
        <v>44.711708800000004</v>
      </c>
      <c r="H21" s="269">
        <v>44.711708800000004</v>
      </c>
    </row>
    <row r="22" spans="1:8" s="37" customFormat="1" ht="15.75" hidden="1" customHeight="1" outlineLevel="1" x14ac:dyDescent="0.25">
      <c r="A22" s="270" t="s">
        <v>142</v>
      </c>
      <c r="B22" s="267" t="s">
        <v>181</v>
      </c>
      <c r="C22" s="268"/>
      <c r="D22" s="268">
        <v>0</v>
      </c>
      <c r="E22" s="268"/>
      <c r="F22" s="268"/>
      <c r="G22" s="269">
        <v>0</v>
      </c>
      <c r="H22" s="269">
        <v>0</v>
      </c>
    </row>
    <row r="23" spans="1:8" s="37" customFormat="1" ht="15.75" hidden="1" customHeight="1" outlineLevel="1" x14ac:dyDescent="0.25">
      <c r="A23" s="270" t="s">
        <v>142</v>
      </c>
      <c r="B23" s="267" t="s">
        <v>180</v>
      </c>
      <c r="C23" s="268"/>
      <c r="D23" s="268">
        <v>0</v>
      </c>
      <c r="E23" s="268"/>
      <c r="F23" s="268"/>
      <c r="G23" s="269">
        <v>0</v>
      </c>
      <c r="H23" s="269">
        <v>0</v>
      </c>
    </row>
    <row r="24" spans="1:8" s="37" customFormat="1" ht="31.5" collapsed="1" x14ac:dyDescent="0.25">
      <c r="A24" s="262">
        <v>3</v>
      </c>
      <c r="B24" s="263" t="s">
        <v>631</v>
      </c>
      <c r="C24" s="264">
        <v>6000</v>
      </c>
      <c r="D24" s="264">
        <v>6000</v>
      </c>
      <c r="E24" s="264">
        <v>1951.0778099999998</v>
      </c>
      <c r="F24" s="264">
        <v>1950.6778099999997</v>
      </c>
      <c r="G24" s="265">
        <v>32.517963499999993</v>
      </c>
      <c r="H24" s="265">
        <v>32.511296833333333</v>
      </c>
    </row>
    <row r="25" spans="1:8" s="37" customFormat="1" x14ac:dyDescent="0.25">
      <c r="A25" s="266" t="s">
        <v>143</v>
      </c>
      <c r="B25" s="267" t="s">
        <v>176</v>
      </c>
      <c r="C25" s="268">
        <v>2000</v>
      </c>
      <c r="D25" s="268">
        <v>2000</v>
      </c>
      <c r="E25" s="268">
        <v>1085.1111069999999</v>
      </c>
      <c r="F25" s="268">
        <v>1084.7111069999999</v>
      </c>
      <c r="G25" s="269">
        <v>54.255555349999995</v>
      </c>
      <c r="H25" s="269">
        <v>54.235555349999998</v>
      </c>
    </row>
    <row r="26" spans="1:8" s="37" customFormat="1" x14ac:dyDescent="0.25">
      <c r="A26" s="266" t="s">
        <v>144</v>
      </c>
      <c r="B26" s="267" t="s">
        <v>177</v>
      </c>
      <c r="C26" s="268">
        <v>4000</v>
      </c>
      <c r="D26" s="268">
        <v>4000</v>
      </c>
      <c r="E26" s="268">
        <v>865.96670299999994</v>
      </c>
      <c r="F26" s="268">
        <v>865.96670299999994</v>
      </c>
      <c r="G26" s="269">
        <v>21.649167574999996</v>
      </c>
      <c r="H26" s="269">
        <v>21.649167574999996</v>
      </c>
    </row>
    <row r="27" spans="1:8" s="37" customFormat="1" x14ac:dyDescent="0.25">
      <c r="A27" s="262">
        <v>4</v>
      </c>
      <c r="B27" s="263" t="s">
        <v>632</v>
      </c>
      <c r="C27" s="264">
        <v>980000</v>
      </c>
      <c r="D27" s="264">
        <v>980000</v>
      </c>
      <c r="E27" s="264">
        <v>1130965.9373340001</v>
      </c>
      <c r="F27" s="264">
        <v>1130965.537334</v>
      </c>
      <c r="G27" s="265">
        <v>115.40468748306122</v>
      </c>
      <c r="H27" s="265">
        <v>115.40464666673469</v>
      </c>
    </row>
    <row r="28" spans="1:8" s="37" customFormat="1" x14ac:dyDescent="0.25">
      <c r="A28" s="266" t="s">
        <v>182</v>
      </c>
      <c r="B28" s="267" t="s">
        <v>176</v>
      </c>
      <c r="C28" s="268">
        <v>707000</v>
      </c>
      <c r="D28" s="268">
        <v>707000</v>
      </c>
      <c r="E28" s="268">
        <v>774236.82074200001</v>
      </c>
      <c r="F28" s="268">
        <v>774236.42074199999</v>
      </c>
      <c r="G28" s="269">
        <v>109.51015852079209</v>
      </c>
      <c r="H28" s="269">
        <v>109.51010194370581</v>
      </c>
    </row>
    <row r="29" spans="1:8" s="37" customFormat="1" x14ac:dyDescent="0.25">
      <c r="A29" s="266" t="s">
        <v>183</v>
      </c>
      <c r="B29" s="267" t="s">
        <v>177</v>
      </c>
      <c r="C29" s="268">
        <v>35000</v>
      </c>
      <c r="D29" s="268">
        <v>35000</v>
      </c>
      <c r="E29" s="268">
        <v>64430.183325000005</v>
      </c>
      <c r="F29" s="268">
        <v>64430.183325000005</v>
      </c>
      <c r="G29" s="269">
        <v>184.0862380714286</v>
      </c>
      <c r="H29" s="269">
        <v>184.0862380714286</v>
      </c>
    </row>
    <row r="30" spans="1:8" s="37" customFormat="1" x14ac:dyDescent="0.25">
      <c r="A30" s="266" t="s">
        <v>184</v>
      </c>
      <c r="B30" s="267" t="s">
        <v>185</v>
      </c>
      <c r="C30" s="268">
        <v>3000</v>
      </c>
      <c r="D30" s="268">
        <v>3000</v>
      </c>
      <c r="E30" s="268">
        <v>2936.7722749999998</v>
      </c>
      <c r="F30" s="268">
        <v>2936.7722749999998</v>
      </c>
      <c r="G30" s="269">
        <v>97.892409166666667</v>
      </c>
      <c r="H30" s="269">
        <v>97.892409166666667</v>
      </c>
    </row>
    <row r="31" spans="1:8" s="37" customFormat="1" x14ac:dyDescent="0.25">
      <c r="A31" s="266" t="s">
        <v>186</v>
      </c>
      <c r="B31" s="267" t="s">
        <v>178</v>
      </c>
      <c r="C31" s="268">
        <v>235000</v>
      </c>
      <c r="D31" s="268">
        <v>235000</v>
      </c>
      <c r="E31" s="268">
        <v>289362.16099200002</v>
      </c>
      <c r="F31" s="268">
        <v>289362.16099200002</v>
      </c>
      <c r="G31" s="269">
        <v>123.13283446468087</v>
      </c>
      <c r="H31" s="269">
        <v>123.13283446468087</v>
      </c>
    </row>
    <row r="32" spans="1:8" s="37" customFormat="1" ht="15.75" hidden="1" customHeight="1" outlineLevel="1" x14ac:dyDescent="0.25">
      <c r="A32" s="270" t="s">
        <v>142</v>
      </c>
      <c r="B32" s="267" t="s">
        <v>179</v>
      </c>
      <c r="C32" s="268"/>
      <c r="D32" s="268">
        <v>0</v>
      </c>
      <c r="E32" s="268"/>
      <c r="F32" s="268">
        <v>0</v>
      </c>
      <c r="G32" s="269">
        <v>0</v>
      </c>
      <c r="H32" s="269">
        <v>0</v>
      </c>
    </row>
    <row r="33" spans="1:8" s="37" customFormat="1" ht="15.75" hidden="1" customHeight="1" outlineLevel="1" x14ac:dyDescent="0.25">
      <c r="A33" s="270" t="s">
        <v>142</v>
      </c>
      <c r="B33" s="267" t="s">
        <v>180</v>
      </c>
      <c r="C33" s="268"/>
      <c r="D33" s="268">
        <v>0</v>
      </c>
      <c r="E33" s="268"/>
      <c r="F33" s="268">
        <v>0</v>
      </c>
      <c r="G33" s="269">
        <v>0</v>
      </c>
      <c r="H33" s="269">
        <v>0</v>
      </c>
    </row>
    <row r="34" spans="1:8" s="37" customFormat="1" collapsed="1" x14ac:dyDescent="0.25">
      <c r="A34" s="262">
        <v>5</v>
      </c>
      <c r="B34" s="263" t="s">
        <v>41</v>
      </c>
      <c r="C34" s="264">
        <v>115000</v>
      </c>
      <c r="D34" s="264">
        <v>115000</v>
      </c>
      <c r="E34" s="264">
        <v>117705.909577</v>
      </c>
      <c r="F34" s="264">
        <v>117705.909577</v>
      </c>
      <c r="G34" s="265">
        <v>102.35296484956523</v>
      </c>
      <c r="H34" s="265">
        <v>102.35296484956523</v>
      </c>
    </row>
    <row r="35" spans="1:8" s="37" customFormat="1" x14ac:dyDescent="0.25">
      <c r="A35" s="262">
        <v>6</v>
      </c>
      <c r="B35" s="263" t="s">
        <v>42</v>
      </c>
      <c r="C35" s="264">
        <v>273000</v>
      </c>
      <c r="D35" s="264">
        <v>163800</v>
      </c>
      <c r="E35" s="264">
        <v>152558.693478</v>
      </c>
      <c r="F35" s="264">
        <v>91536.834262000004</v>
      </c>
      <c r="G35" s="265">
        <v>55.882305303296711</v>
      </c>
      <c r="H35" s="265">
        <v>55.883293200244196</v>
      </c>
    </row>
    <row r="36" spans="1:8" s="41" customFormat="1" ht="31.5" x14ac:dyDescent="0.25">
      <c r="A36" s="271" t="s">
        <v>12</v>
      </c>
      <c r="B36" s="272" t="s">
        <v>232</v>
      </c>
      <c r="C36" s="273">
        <v>163800</v>
      </c>
      <c r="D36" s="273">
        <v>163800</v>
      </c>
      <c r="E36" s="273">
        <v>4.0454129999999999</v>
      </c>
      <c r="F36" s="273">
        <v>4.0454129999999999</v>
      </c>
      <c r="G36" s="274">
        <v>2.4697271062271062E-3</v>
      </c>
      <c r="H36" s="274">
        <v>2.4697271062271062E-3</v>
      </c>
    </row>
    <row r="37" spans="1:8" s="41" customFormat="1" ht="31.5" x14ac:dyDescent="0.25">
      <c r="A37" s="271" t="s">
        <v>12</v>
      </c>
      <c r="B37" s="272" t="s">
        <v>233</v>
      </c>
      <c r="C37" s="273">
        <v>109200</v>
      </c>
      <c r="D37" s="273"/>
      <c r="E37" s="273">
        <v>0</v>
      </c>
      <c r="F37" s="273"/>
      <c r="G37" s="274">
        <v>0</v>
      </c>
      <c r="H37" s="274">
        <v>0</v>
      </c>
    </row>
    <row r="38" spans="1:8" s="37" customFormat="1" x14ac:dyDescent="0.25">
      <c r="A38" s="262">
        <v>7</v>
      </c>
      <c r="B38" s="263" t="s">
        <v>43</v>
      </c>
      <c r="C38" s="264">
        <v>110000</v>
      </c>
      <c r="D38" s="264">
        <v>110000</v>
      </c>
      <c r="E38" s="264">
        <v>90718.425603000011</v>
      </c>
      <c r="F38" s="264">
        <v>90718.025603000016</v>
      </c>
      <c r="G38" s="265">
        <v>82.471296002727286</v>
      </c>
      <c r="H38" s="265">
        <v>82.470932366363641</v>
      </c>
    </row>
    <row r="39" spans="1:8" s="37" customFormat="1" x14ac:dyDescent="0.25">
      <c r="A39" s="262">
        <v>8</v>
      </c>
      <c r="B39" s="263" t="s">
        <v>187</v>
      </c>
      <c r="C39" s="264">
        <v>57000</v>
      </c>
      <c r="D39" s="264">
        <v>47000</v>
      </c>
      <c r="E39" s="264">
        <v>56345.806458000006</v>
      </c>
      <c r="F39" s="264">
        <v>45468.195528999997</v>
      </c>
      <c r="G39" s="265">
        <v>98.852292031578955</v>
      </c>
      <c r="H39" s="265">
        <v>96.740841551063824</v>
      </c>
    </row>
    <row r="40" spans="1:8" s="41" customFormat="1" x14ac:dyDescent="0.25">
      <c r="A40" s="271" t="s">
        <v>12</v>
      </c>
      <c r="B40" s="272" t="s">
        <v>188</v>
      </c>
      <c r="C40" s="273">
        <v>10000</v>
      </c>
      <c r="D40" s="273"/>
      <c r="E40" s="273">
        <v>11181.245779000001</v>
      </c>
      <c r="F40" s="273">
        <v>303.63485000000003</v>
      </c>
      <c r="G40" s="274">
        <v>111.81245779</v>
      </c>
      <c r="H40" s="265">
        <v>0</v>
      </c>
    </row>
    <row r="41" spans="1:8" s="41" customFormat="1" x14ac:dyDescent="0.25">
      <c r="A41" s="271" t="s">
        <v>12</v>
      </c>
      <c r="B41" s="272" t="s">
        <v>189</v>
      </c>
      <c r="C41" s="273"/>
      <c r="D41" s="273"/>
      <c r="E41" s="273">
        <v>21952.378333000001</v>
      </c>
      <c r="F41" s="273">
        <v>21952.378333000001</v>
      </c>
      <c r="G41" s="274">
        <v>0</v>
      </c>
      <c r="H41" s="274">
        <v>0</v>
      </c>
    </row>
    <row r="42" spans="1:8" s="41" customFormat="1" x14ac:dyDescent="0.25">
      <c r="A42" s="271" t="s">
        <v>12</v>
      </c>
      <c r="B42" s="272" t="s">
        <v>190</v>
      </c>
      <c r="C42" s="273"/>
      <c r="D42" s="273">
        <v>0</v>
      </c>
      <c r="E42" s="273">
        <v>12140.188043</v>
      </c>
      <c r="F42" s="273">
        <v>12140.188043</v>
      </c>
      <c r="G42" s="274">
        <v>0</v>
      </c>
      <c r="H42" s="274">
        <v>0</v>
      </c>
    </row>
    <row r="43" spans="1:8" s="41" customFormat="1" x14ac:dyDescent="0.25">
      <c r="A43" s="271" t="s">
        <v>12</v>
      </c>
      <c r="B43" s="272" t="s">
        <v>191</v>
      </c>
      <c r="C43" s="273"/>
      <c r="D43" s="273"/>
      <c r="E43" s="273">
        <v>11071.994303000001</v>
      </c>
      <c r="F43" s="273">
        <v>11071.994303000001</v>
      </c>
      <c r="G43" s="274">
        <v>0</v>
      </c>
      <c r="H43" s="274">
        <v>0</v>
      </c>
    </row>
    <row r="44" spans="1:8" s="37" customFormat="1" x14ac:dyDescent="0.25">
      <c r="A44" s="262">
        <v>9</v>
      </c>
      <c r="B44" s="263" t="s">
        <v>44</v>
      </c>
      <c r="C44" s="264">
        <v>0</v>
      </c>
      <c r="D44" s="264">
        <v>0</v>
      </c>
      <c r="E44" s="264">
        <v>50.514676000000001</v>
      </c>
      <c r="F44" s="264">
        <v>50.514676000000001</v>
      </c>
      <c r="G44" s="265">
        <v>0</v>
      </c>
      <c r="H44" s="265">
        <v>0</v>
      </c>
    </row>
    <row r="45" spans="1:8" s="37" customFormat="1" x14ac:dyDescent="0.25">
      <c r="A45" s="262">
        <v>10</v>
      </c>
      <c r="B45" s="263" t="s">
        <v>45</v>
      </c>
      <c r="C45" s="264">
        <v>3300</v>
      </c>
      <c r="D45" s="264">
        <v>3300</v>
      </c>
      <c r="E45" s="264">
        <v>4185.8163480000003</v>
      </c>
      <c r="F45" s="264">
        <v>4185.8163480000003</v>
      </c>
      <c r="G45" s="265">
        <v>126.84291963636365</v>
      </c>
      <c r="H45" s="265">
        <v>126.84291963636365</v>
      </c>
    </row>
    <row r="46" spans="1:8" s="37" customFormat="1" x14ac:dyDescent="0.25">
      <c r="A46" s="262">
        <v>11</v>
      </c>
      <c r="B46" s="263" t="s">
        <v>46</v>
      </c>
      <c r="C46" s="264">
        <v>22000</v>
      </c>
      <c r="D46" s="264">
        <v>22000</v>
      </c>
      <c r="E46" s="264">
        <v>106567.253199</v>
      </c>
      <c r="F46" s="264">
        <v>106567.253199</v>
      </c>
      <c r="G46" s="265">
        <v>484.39660544999998</v>
      </c>
      <c r="H46" s="265">
        <v>484.39660544999998</v>
      </c>
    </row>
    <row r="47" spans="1:8" s="37" customFormat="1" x14ac:dyDescent="0.25">
      <c r="A47" s="262">
        <v>12</v>
      </c>
      <c r="B47" s="263" t="s">
        <v>47</v>
      </c>
      <c r="C47" s="264">
        <v>400000</v>
      </c>
      <c r="D47" s="264">
        <v>400000</v>
      </c>
      <c r="E47" s="264">
        <v>182294.75075499999</v>
      </c>
      <c r="F47" s="264">
        <v>182294.75075499999</v>
      </c>
      <c r="G47" s="265">
        <v>45.573687688749999</v>
      </c>
      <c r="H47" s="265">
        <v>45.573687688749999</v>
      </c>
    </row>
    <row r="48" spans="1:8" s="37" customFormat="1" ht="31.5" x14ac:dyDescent="0.25">
      <c r="A48" s="262">
        <v>13</v>
      </c>
      <c r="B48" s="263" t="s">
        <v>48</v>
      </c>
      <c r="C48" s="264">
        <v>1137</v>
      </c>
      <c r="D48" s="264">
        <v>1137</v>
      </c>
      <c r="E48" s="264">
        <v>210.51237399999999</v>
      </c>
      <c r="F48" s="264">
        <v>210.51237399999999</v>
      </c>
      <c r="G48" s="265">
        <v>18.514720668425682</v>
      </c>
      <c r="H48" s="265">
        <v>18.514720668425682</v>
      </c>
    </row>
    <row r="49" spans="1:10" s="37" customFormat="1" x14ac:dyDescent="0.25">
      <c r="A49" s="262">
        <v>14</v>
      </c>
      <c r="B49" s="263" t="s">
        <v>192</v>
      </c>
      <c r="C49" s="264">
        <v>77000</v>
      </c>
      <c r="D49" s="264">
        <v>77000</v>
      </c>
      <c r="E49" s="264">
        <v>101382.11545</v>
      </c>
      <c r="F49" s="264">
        <v>101382.11545</v>
      </c>
      <c r="G49" s="265">
        <v>131.665085</v>
      </c>
      <c r="H49" s="265">
        <v>131.665085</v>
      </c>
    </row>
    <row r="50" spans="1:10" s="37" customFormat="1" hidden="1" x14ac:dyDescent="0.25">
      <c r="A50" s="263"/>
      <c r="B50" s="263" t="s">
        <v>234</v>
      </c>
      <c r="C50" s="275"/>
      <c r="D50" s="264">
        <v>0</v>
      </c>
      <c r="E50" s="275"/>
      <c r="F50" s="264">
        <v>0</v>
      </c>
      <c r="G50" s="265">
        <v>0</v>
      </c>
      <c r="H50" s="265">
        <v>0</v>
      </c>
    </row>
    <row r="51" spans="1:10" s="37" customFormat="1" x14ac:dyDescent="0.25">
      <c r="A51" s="262">
        <v>15</v>
      </c>
      <c r="B51" s="263" t="s">
        <v>49</v>
      </c>
      <c r="C51" s="264">
        <v>90000</v>
      </c>
      <c r="D51" s="264">
        <v>37500</v>
      </c>
      <c r="E51" s="264">
        <v>112374.45282400001</v>
      </c>
      <c r="F51" s="264">
        <v>52815.196599999996</v>
      </c>
      <c r="G51" s="265">
        <v>124.86050313777778</v>
      </c>
      <c r="H51" s="265">
        <v>140.84052426666665</v>
      </c>
    </row>
    <row r="52" spans="1:10" s="37" customFormat="1" x14ac:dyDescent="0.25">
      <c r="A52" s="262">
        <v>16</v>
      </c>
      <c r="B52" s="263" t="s">
        <v>50</v>
      </c>
      <c r="C52" s="264">
        <v>65000</v>
      </c>
      <c r="D52" s="264">
        <v>44000</v>
      </c>
      <c r="E52" s="264">
        <v>93816.719257000004</v>
      </c>
      <c r="F52" s="264">
        <v>45988.044280999995</v>
      </c>
      <c r="G52" s="265">
        <v>144.33341424153846</v>
      </c>
      <c r="H52" s="265">
        <v>104.51828245681818</v>
      </c>
    </row>
    <row r="53" spans="1:10" s="37" customFormat="1" x14ac:dyDescent="0.25">
      <c r="A53" s="262">
        <v>17</v>
      </c>
      <c r="B53" s="263" t="s">
        <v>51</v>
      </c>
      <c r="C53" s="264">
        <v>700</v>
      </c>
      <c r="D53" s="264">
        <v>700</v>
      </c>
      <c r="E53" s="264">
        <v>1152.4128539999999</v>
      </c>
      <c r="F53" s="264">
        <v>1152.0128539999998</v>
      </c>
      <c r="G53" s="265">
        <v>164.6304077142857</v>
      </c>
      <c r="H53" s="265">
        <v>164.57326485714282</v>
      </c>
    </row>
    <row r="54" spans="1:10" s="37" customFormat="1" x14ac:dyDescent="0.25">
      <c r="A54" s="262">
        <v>18</v>
      </c>
      <c r="B54" s="263" t="s">
        <v>633</v>
      </c>
      <c r="C54" s="264">
        <v>2000</v>
      </c>
      <c r="D54" s="264">
        <v>2000</v>
      </c>
      <c r="E54" s="264">
        <v>4935.7830949999998</v>
      </c>
      <c r="F54" s="264">
        <v>4935.583095</v>
      </c>
      <c r="G54" s="265">
        <v>246.78915474999999</v>
      </c>
      <c r="H54" s="265">
        <v>246.77915475</v>
      </c>
    </row>
    <row r="55" spans="1:10" s="37" customFormat="1" ht="47.25" x14ac:dyDescent="0.25">
      <c r="A55" s="262">
        <v>19</v>
      </c>
      <c r="B55" s="263" t="s">
        <v>634</v>
      </c>
      <c r="C55" s="264"/>
      <c r="D55" s="264"/>
      <c r="E55" s="264"/>
      <c r="F55" s="264"/>
      <c r="G55" s="265">
        <v>0</v>
      </c>
      <c r="H55" s="265">
        <v>0</v>
      </c>
    </row>
    <row r="56" spans="1:10" s="37" customFormat="1" x14ac:dyDescent="0.25">
      <c r="A56" s="262">
        <v>20</v>
      </c>
      <c r="B56" s="263" t="s">
        <v>635</v>
      </c>
      <c r="C56" s="264"/>
      <c r="D56" s="264"/>
      <c r="E56" s="264"/>
      <c r="F56" s="264"/>
      <c r="G56" s="265">
        <v>0</v>
      </c>
      <c r="H56" s="265">
        <v>0</v>
      </c>
    </row>
    <row r="57" spans="1:10" s="37" customFormat="1" ht="47.25" x14ac:dyDescent="0.25">
      <c r="A57" s="262">
        <v>21</v>
      </c>
      <c r="B57" s="263" t="s">
        <v>235</v>
      </c>
      <c r="C57" s="264">
        <v>1252863</v>
      </c>
      <c r="D57" s="264">
        <v>1252863</v>
      </c>
      <c r="E57" s="264">
        <v>0</v>
      </c>
      <c r="F57" s="264">
        <v>0</v>
      </c>
      <c r="G57" s="265">
        <v>0</v>
      </c>
      <c r="H57" s="265">
        <v>0</v>
      </c>
    </row>
    <row r="58" spans="1:10" s="37" customFormat="1" ht="15.75" hidden="1" customHeight="1" outlineLevel="1" x14ac:dyDescent="0.25">
      <c r="A58" s="271" t="s">
        <v>236</v>
      </c>
      <c r="B58" s="272" t="s">
        <v>72</v>
      </c>
      <c r="C58" s="273"/>
      <c r="D58" s="273"/>
      <c r="E58" s="273"/>
      <c r="F58" s="273"/>
      <c r="G58" s="274">
        <v>0</v>
      </c>
      <c r="H58" s="274">
        <v>0</v>
      </c>
    </row>
    <row r="59" spans="1:10" s="40" customFormat="1" ht="31.5" hidden="1" customHeight="1" outlineLevel="1" x14ac:dyDescent="0.25">
      <c r="A59" s="276" t="s">
        <v>12</v>
      </c>
      <c r="B59" s="214" t="s">
        <v>237</v>
      </c>
      <c r="C59" s="273"/>
      <c r="D59" s="273"/>
      <c r="E59" s="273"/>
      <c r="F59" s="273">
        <v>0</v>
      </c>
      <c r="G59" s="274">
        <v>0</v>
      </c>
      <c r="H59" s="274">
        <v>0</v>
      </c>
    </row>
    <row r="60" spans="1:10" s="40" customFormat="1" ht="47.25" hidden="1" customHeight="1" outlineLevel="1" x14ac:dyDescent="0.25">
      <c r="A60" s="276" t="s">
        <v>12</v>
      </c>
      <c r="B60" s="214" t="s">
        <v>428</v>
      </c>
      <c r="C60" s="273"/>
      <c r="D60" s="273"/>
      <c r="E60" s="273"/>
      <c r="F60" s="273">
        <v>0</v>
      </c>
      <c r="G60" s="274">
        <v>0</v>
      </c>
      <c r="H60" s="274">
        <v>0</v>
      </c>
    </row>
    <row r="61" spans="1:10" s="40" customFormat="1" ht="47.25" hidden="1" customHeight="1" outlineLevel="1" x14ac:dyDescent="0.25">
      <c r="A61" s="276" t="s">
        <v>12</v>
      </c>
      <c r="B61" s="214" t="s">
        <v>550</v>
      </c>
      <c r="C61" s="273"/>
      <c r="D61" s="273"/>
      <c r="E61" s="273"/>
      <c r="F61" s="273">
        <v>0</v>
      </c>
      <c r="G61" s="274">
        <v>0</v>
      </c>
      <c r="H61" s="274">
        <v>0</v>
      </c>
    </row>
    <row r="62" spans="1:10" s="40" customFormat="1" ht="47.25" hidden="1" customHeight="1" outlineLevel="1" x14ac:dyDescent="0.25">
      <c r="A62" s="276" t="s">
        <v>12</v>
      </c>
      <c r="B62" s="214" t="s">
        <v>429</v>
      </c>
      <c r="C62" s="273"/>
      <c r="D62" s="273"/>
      <c r="E62" s="273"/>
      <c r="F62" s="273">
        <v>0</v>
      </c>
      <c r="G62" s="274">
        <v>0</v>
      </c>
      <c r="H62" s="274">
        <v>0</v>
      </c>
    </row>
    <row r="63" spans="1:10" s="127" customFormat="1" ht="31.5" hidden="1" customHeight="1" outlineLevel="1" x14ac:dyDescent="0.25">
      <c r="A63" s="277" t="s">
        <v>12</v>
      </c>
      <c r="B63" s="214" t="s">
        <v>551</v>
      </c>
      <c r="C63" s="264"/>
      <c r="D63" s="264"/>
      <c r="E63" s="273"/>
      <c r="F63" s="273">
        <v>0</v>
      </c>
      <c r="G63" s="265">
        <v>0</v>
      </c>
      <c r="H63" s="265">
        <v>0</v>
      </c>
      <c r="J63" s="128"/>
    </row>
    <row r="64" spans="1:10" s="127" customFormat="1" ht="31.5" hidden="1" customHeight="1" outlineLevel="1" x14ac:dyDescent="0.25">
      <c r="A64" s="276" t="s">
        <v>12</v>
      </c>
      <c r="B64" s="214" t="s">
        <v>430</v>
      </c>
      <c r="C64" s="273"/>
      <c r="D64" s="273"/>
      <c r="E64" s="273"/>
      <c r="F64" s="273">
        <v>0</v>
      </c>
      <c r="G64" s="274">
        <v>0</v>
      </c>
      <c r="H64" s="274">
        <v>0</v>
      </c>
      <c r="J64" s="128"/>
    </row>
    <row r="65" spans="1:10" s="127" customFormat="1" ht="31.5" hidden="1" customHeight="1" outlineLevel="1" x14ac:dyDescent="0.25">
      <c r="A65" s="262"/>
      <c r="B65" s="214" t="s">
        <v>431</v>
      </c>
      <c r="C65" s="264"/>
      <c r="D65" s="264"/>
      <c r="E65" s="273"/>
      <c r="F65" s="273">
        <v>0</v>
      </c>
      <c r="G65" s="265">
        <v>0</v>
      </c>
      <c r="H65" s="265">
        <v>0</v>
      </c>
      <c r="J65" s="128"/>
    </row>
    <row r="66" spans="1:10" ht="31.5" collapsed="1" x14ac:dyDescent="0.25">
      <c r="A66" s="262">
        <v>22</v>
      </c>
      <c r="B66" s="263" t="s">
        <v>432</v>
      </c>
      <c r="C66" s="264">
        <v>0</v>
      </c>
      <c r="D66" s="264">
        <v>0</v>
      </c>
      <c r="E66" s="264"/>
      <c r="F66" s="264"/>
      <c r="G66" s="265">
        <v>0</v>
      </c>
      <c r="H66" s="265">
        <v>0</v>
      </c>
    </row>
    <row r="67" spans="1:10" x14ac:dyDescent="0.25">
      <c r="A67" s="262" t="s">
        <v>25</v>
      </c>
      <c r="B67" s="263" t="s">
        <v>52</v>
      </c>
      <c r="C67" s="268"/>
      <c r="D67" s="268"/>
      <c r="E67" s="268"/>
      <c r="F67" s="268"/>
      <c r="G67" s="265">
        <v>0</v>
      </c>
      <c r="H67" s="265">
        <v>0</v>
      </c>
    </row>
    <row r="68" spans="1:10" x14ac:dyDescent="0.25">
      <c r="A68" s="262" t="s">
        <v>29</v>
      </c>
      <c r="B68" s="263" t="s">
        <v>193</v>
      </c>
      <c r="C68" s="264">
        <v>293000</v>
      </c>
      <c r="D68" s="264">
        <v>0</v>
      </c>
      <c r="E68" s="264">
        <v>326507.456366</v>
      </c>
      <c r="F68" s="264">
        <v>0</v>
      </c>
      <c r="G68" s="265">
        <v>111.43599193378839</v>
      </c>
      <c r="H68" s="265">
        <v>0</v>
      </c>
    </row>
    <row r="69" spans="1:10" x14ac:dyDescent="0.25">
      <c r="A69" s="266">
        <v>1</v>
      </c>
      <c r="B69" s="267" t="s">
        <v>53</v>
      </c>
      <c r="C69" s="268">
        <v>8000</v>
      </c>
      <c r="D69" s="268"/>
      <c r="E69" s="268">
        <v>5100.042829</v>
      </c>
      <c r="F69" s="268"/>
      <c r="G69" s="269">
        <v>63.750535362500003</v>
      </c>
      <c r="H69" s="269">
        <v>0</v>
      </c>
    </row>
    <row r="70" spans="1:10" x14ac:dyDescent="0.25">
      <c r="A70" s="266">
        <v>2</v>
      </c>
      <c r="B70" s="267" t="s">
        <v>54</v>
      </c>
      <c r="C70" s="268">
        <v>5800</v>
      </c>
      <c r="D70" s="268"/>
      <c r="E70" s="268">
        <v>763.82489399999997</v>
      </c>
      <c r="F70" s="268"/>
      <c r="G70" s="269">
        <v>13.169394724137931</v>
      </c>
      <c r="H70" s="269">
        <v>0</v>
      </c>
    </row>
    <row r="71" spans="1:10" x14ac:dyDescent="0.25">
      <c r="A71" s="266">
        <v>3</v>
      </c>
      <c r="B71" s="267" t="s">
        <v>173</v>
      </c>
      <c r="C71" s="268">
        <v>0</v>
      </c>
      <c r="D71" s="268"/>
      <c r="E71" s="268"/>
      <c r="F71" s="268"/>
      <c r="G71" s="269">
        <v>0</v>
      </c>
      <c r="H71" s="269">
        <v>0</v>
      </c>
    </row>
    <row r="72" spans="1:10" x14ac:dyDescent="0.25">
      <c r="A72" s="266">
        <v>4</v>
      </c>
      <c r="B72" s="267" t="s">
        <v>194</v>
      </c>
      <c r="C72" s="268">
        <v>279000</v>
      </c>
      <c r="D72" s="268"/>
      <c r="E72" s="268">
        <v>0.83599999999999997</v>
      </c>
      <c r="F72" s="268"/>
      <c r="G72" s="269">
        <v>2.9964157706093188E-4</v>
      </c>
      <c r="H72" s="269">
        <v>0</v>
      </c>
    </row>
    <row r="73" spans="1:10" x14ac:dyDescent="0.25">
      <c r="A73" s="266">
        <v>5</v>
      </c>
      <c r="B73" s="267" t="s">
        <v>195</v>
      </c>
      <c r="C73" s="268">
        <v>0</v>
      </c>
      <c r="D73" s="268"/>
      <c r="E73" s="268">
        <v>319940.44064599997</v>
      </c>
      <c r="F73" s="268"/>
      <c r="G73" s="269">
        <v>0</v>
      </c>
      <c r="H73" s="269">
        <v>0</v>
      </c>
    </row>
    <row r="74" spans="1:10" x14ac:dyDescent="0.25">
      <c r="A74" s="266">
        <v>6</v>
      </c>
      <c r="B74" s="267" t="s">
        <v>55</v>
      </c>
      <c r="C74" s="268">
        <v>200</v>
      </c>
      <c r="D74" s="268"/>
      <c r="E74" s="268">
        <v>702.31199700000002</v>
      </c>
      <c r="F74" s="268"/>
      <c r="G74" s="269">
        <v>351.15599850000001</v>
      </c>
      <c r="H74" s="269">
        <v>0</v>
      </c>
    </row>
    <row r="75" spans="1:10" x14ac:dyDescent="0.25">
      <c r="A75" s="262" t="s">
        <v>56</v>
      </c>
      <c r="B75" s="263" t="s">
        <v>196</v>
      </c>
      <c r="C75" s="264"/>
      <c r="D75" s="264"/>
      <c r="E75" s="264">
        <v>49500</v>
      </c>
      <c r="F75" s="264">
        <v>49500</v>
      </c>
      <c r="G75" s="265">
        <v>0</v>
      </c>
      <c r="H75" s="265">
        <v>0</v>
      </c>
    </row>
    <row r="76" spans="1:10" x14ac:dyDescent="0.25">
      <c r="A76" s="262" t="s">
        <v>73</v>
      </c>
      <c r="B76" s="263" t="s">
        <v>18</v>
      </c>
      <c r="C76" s="264"/>
      <c r="D76" s="264"/>
      <c r="E76" s="264">
        <v>0</v>
      </c>
      <c r="F76" s="264"/>
      <c r="G76" s="265">
        <v>0</v>
      </c>
      <c r="H76" s="265">
        <v>0</v>
      </c>
    </row>
    <row r="77" spans="1:10" x14ac:dyDescent="0.25">
      <c r="A77" s="262" t="s">
        <v>8</v>
      </c>
      <c r="B77" s="263" t="s">
        <v>238</v>
      </c>
      <c r="C77" s="268"/>
      <c r="D77" s="268"/>
      <c r="E77" s="264">
        <v>12206.46313</v>
      </c>
      <c r="F77" s="264">
        <v>12206.46313</v>
      </c>
      <c r="G77" s="265">
        <v>0</v>
      </c>
      <c r="H77" s="265">
        <v>0</v>
      </c>
    </row>
    <row r="78" spans="1:10" x14ac:dyDescent="0.25">
      <c r="A78" s="262"/>
      <c r="B78" s="33" t="s">
        <v>239</v>
      </c>
      <c r="C78" s="268"/>
      <c r="D78" s="268"/>
      <c r="E78" s="268">
        <v>12206.46313</v>
      </c>
      <c r="F78" s="268">
        <v>12206.46313</v>
      </c>
      <c r="G78" s="265">
        <v>0</v>
      </c>
      <c r="H78" s="265">
        <v>0</v>
      </c>
    </row>
    <row r="79" spans="1:10" x14ac:dyDescent="0.25">
      <c r="A79" s="262" t="s">
        <v>31</v>
      </c>
      <c r="B79" s="263" t="s">
        <v>57</v>
      </c>
      <c r="C79" s="264"/>
      <c r="D79" s="264"/>
      <c r="E79" s="264">
        <v>73723.517011000004</v>
      </c>
      <c r="F79" s="264">
        <v>73723.517011000004</v>
      </c>
      <c r="G79" s="265">
        <v>0</v>
      </c>
      <c r="H79" s="265">
        <v>0</v>
      </c>
    </row>
    <row r="80" spans="1:10" ht="31.5" x14ac:dyDescent="0.25">
      <c r="A80" s="278" t="s">
        <v>32</v>
      </c>
      <c r="B80" s="279" t="s">
        <v>58</v>
      </c>
      <c r="C80" s="280"/>
      <c r="D80" s="280"/>
      <c r="E80" s="280">
        <v>3563988.770759</v>
      </c>
      <c r="F80" s="280">
        <v>3563988.770759</v>
      </c>
      <c r="G80" s="281">
        <v>0</v>
      </c>
      <c r="H80" s="281">
        <v>0</v>
      </c>
    </row>
  </sheetData>
  <mergeCells count="7">
    <mergeCell ref="A3:H3"/>
    <mergeCell ref="A4:H4"/>
    <mergeCell ref="A6:A7"/>
    <mergeCell ref="B6:B7"/>
    <mergeCell ref="C6:D6"/>
    <mergeCell ref="E6:F6"/>
    <mergeCell ref="G6:H6"/>
  </mergeCells>
  <printOptions horizontalCentered="1"/>
  <pageMargins left="0" right="0" top="0.75" bottom="0.5" header="0.3" footer="0.3"/>
  <pageSetup paperSize="9" scale="7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66"/>
  <sheetViews>
    <sheetView showZeros="0" tabSelected="1" zoomScale="85" zoomScaleNormal="85" workbookViewId="0">
      <pane xSplit="2" ySplit="7" topLeftCell="C8" activePane="bottomRight" state="frozen"/>
      <selection pane="topRight" activeCell="C1" sqref="C1"/>
      <selection pane="bottomLeft" activeCell="A9" sqref="A9"/>
      <selection pane="bottomRight" activeCell="A3" sqref="A3:K3"/>
    </sheetView>
  </sheetViews>
  <sheetFormatPr defaultColWidth="9.140625" defaultRowHeight="15" x14ac:dyDescent="0.25"/>
  <cols>
    <col min="1" max="1" width="7.28515625" style="105" customWidth="1"/>
    <col min="2" max="2" width="50.7109375" style="105" customWidth="1"/>
    <col min="3" max="3" width="13.42578125" style="105" customWidth="1"/>
    <col min="4" max="4" width="11.7109375" style="105" customWidth="1"/>
    <col min="5" max="5" width="12.7109375" style="105" customWidth="1"/>
    <col min="6" max="6" width="14" style="105" customWidth="1"/>
    <col min="7" max="7" width="12.5703125" style="105" customWidth="1"/>
    <col min="8" max="8" width="12.140625" style="105" customWidth="1"/>
    <col min="9" max="9" width="11.85546875" style="105" bestFit="1" customWidth="1"/>
    <col min="10" max="10" width="9.85546875" style="105" bestFit="1" customWidth="1"/>
    <col min="11" max="11" width="12.140625" style="105" bestFit="1" customWidth="1"/>
    <col min="12" max="12" width="18.7109375" style="105" customWidth="1"/>
    <col min="13" max="14" width="13.140625" style="105" bestFit="1" customWidth="1"/>
    <col min="15" max="15" width="14.140625" style="105" bestFit="1" customWidth="1"/>
    <col min="16" max="17" width="13.140625" style="105" bestFit="1" customWidth="1"/>
    <col min="18" max="257" width="9.140625" style="105"/>
    <col min="258" max="258" width="38.140625" style="105" customWidth="1"/>
    <col min="259" max="259" width="11.85546875" style="105" customWidth="1"/>
    <col min="260" max="260" width="10.5703125" style="105" customWidth="1"/>
    <col min="261" max="261" width="11" style="105" customWidth="1"/>
    <col min="262" max="264" width="10" style="105" bestFit="1" customWidth="1"/>
    <col min="265" max="265" width="11.42578125" style="105" bestFit="1" customWidth="1"/>
    <col min="266" max="267" width="9.140625" style="105"/>
    <col min="268" max="268" width="29.5703125" style="105" customWidth="1"/>
    <col min="269" max="269" width="10.140625" style="105" bestFit="1" customWidth="1"/>
    <col min="270" max="513" width="9.140625" style="105"/>
    <col min="514" max="514" width="38.140625" style="105" customWidth="1"/>
    <col min="515" max="515" width="11.85546875" style="105" customWidth="1"/>
    <col min="516" max="516" width="10.5703125" style="105" customWidth="1"/>
    <col min="517" max="517" width="11" style="105" customWidth="1"/>
    <col min="518" max="520" width="10" style="105" bestFit="1" customWidth="1"/>
    <col min="521" max="521" width="11.42578125" style="105" bestFit="1" customWidth="1"/>
    <col min="522" max="523" width="9.140625" style="105"/>
    <col min="524" max="524" width="29.5703125" style="105" customWidth="1"/>
    <col min="525" max="525" width="10.140625" style="105" bestFit="1" customWidth="1"/>
    <col min="526" max="769" width="9.140625" style="105"/>
    <col min="770" max="770" width="38.140625" style="105" customWidth="1"/>
    <col min="771" max="771" width="11.85546875" style="105" customWidth="1"/>
    <col min="772" max="772" width="10.5703125" style="105" customWidth="1"/>
    <col min="773" max="773" width="11" style="105" customWidth="1"/>
    <col min="774" max="776" width="10" style="105" bestFit="1" customWidth="1"/>
    <col min="777" max="777" width="11.42578125" style="105" bestFit="1" customWidth="1"/>
    <col min="778" max="779" width="9.140625" style="105"/>
    <col min="780" max="780" width="29.5703125" style="105" customWidth="1"/>
    <col min="781" max="781" width="10.140625" style="105" bestFit="1" customWidth="1"/>
    <col min="782" max="1025" width="9.140625" style="105"/>
    <col min="1026" max="1026" width="38.140625" style="105" customWidth="1"/>
    <col min="1027" max="1027" width="11.85546875" style="105" customWidth="1"/>
    <col min="1028" max="1028" width="10.5703125" style="105" customWidth="1"/>
    <col min="1029" max="1029" width="11" style="105" customWidth="1"/>
    <col min="1030" max="1032" width="10" style="105" bestFit="1" customWidth="1"/>
    <col min="1033" max="1033" width="11.42578125" style="105" bestFit="1" customWidth="1"/>
    <col min="1034" max="1035" width="9.140625" style="105"/>
    <col min="1036" max="1036" width="29.5703125" style="105" customWidth="1"/>
    <col min="1037" max="1037" width="10.140625" style="105" bestFit="1" customWidth="1"/>
    <col min="1038" max="1281" width="9.140625" style="105"/>
    <col min="1282" max="1282" width="38.140625" style="105" customWidth="1"/>
    <col min="1283" max="1283" width="11.85546875" style="105" customWidth="1"/>
    <col min="1284" max="1284" width="10.5703125" style="105" customWidth="1"/>
    <col min="1285" max="1285" width="11" style="105" customWidth="1"/>
    <col min="1286" max="1288" width="10" style="105" bestFit="1" customWidth="1"/>
    <col min="1289" max="1289" width="11.42578125" style="105" bestFit="1" customWidth="1"/>
    <col min="1290" max="1291" width="9.140625" style="105"/>
    <col min="1292" max="1292" width="29.5703125" style="105" customWidth="1"/>
    <col min="1293" max="1293" width="10.140625" style="105" bestFit="1" customWidth="1"/>
    <col min="1294" max="1537" width="9.140625" style="105"/>
    <col min="1538" max="1538" width="38.140625" style="105" customWidth="1"/>
    <col min="1539" max="1539" width="11.85546875" style="105" customWidth="1"/>
    <col min="1540" max="1540" width="10.5703125" style="105" customWidth="1"/>
    <col min="1541" max="1541" width="11" style="105" customWidth="1"/>
    <col min="1542" max="1544" width="10" style="105" bestFit="1" customWidth="1"/>
    <col min="1545" max="1545" width="11.42578125" style="105" bestFit="1" customWidth="1"/>
    <col min="1546" max="1547" width="9.140625" style="105"/>
    <col min="1548" max="1548" width="29.5703125" style="105" customWidth="1"/>
    <col min="1549" max="1549" width="10.140625" style="105" bestFit="1" customWidth="1"/>
    <col min="1550" max="1793" width="9.140625" style="105"/>
    <col min="1794" max="1794" width="38.140625" style="105" customWidth="1"/>
    <col min="1795" max="1795" width="11.85546875" style="105" customWidth="1"/>
    <col min="1796" max="1796" width="10.5703125" style="105" customWidth="1"/>
    <col min="1797" max="1797" width="11" style="105" customWidth="1"/>
    <col min="1798" max="1800" width="10" style="105" bestFit="1" customWidth="1"/>
    <col min="1801" max="1801" width="11.42578125" style="105" bestFit="1" customWidth="1"/>
    <col min="1802" max="1803" width="9.140625" style="105"/>
    <col min="1804" max="1804" width="29.5703125" style="105" customWidth="1"/>
    <col min="1805" max="1805" width="10.140625" style="105" bestFit="1" customWidth="1"/>
    <col min="1806" max="2049" width="9.140625" style="105"/>
    <col min="2050" max="2050" width="38.140625" style="105" customWidth="1"/>
    <col min="2051" max="2051" width="11.85546875" style="105" customWidth="1"/>
    <col min="2052" max="2052" width="10.5703125" style="105" customWidth="1"/>
    <col min="2053" max="2053" width="11" style="105" customWidth="1"/>
    <col min="2054" max="2056" width="10" style="105" bestFit="1" customWidth="1"/>
    <col min="2057" max="2057" width="11.42578125" style="105" bestFit="1" customWidth="1"/>
    <col min="2058" max="2059" width="9.140625" style="105"/>
    <col min="2060" max="2060" width="29.5703125" style="105" customWidth="1"/>
    <col min="2061" max="2061" width="10.140625" style="105" bestFit="1" customWidth="1"/>
    <col min="2062" max="2305" width="9.140625" style="105"/>
    <col min="2306" max="2306" width="38.140625" style="105" customWidth="1"/>
    <col min="2307" max="2307" width="11.85546875" style="105" customWidth="1"/>
    <col min="2308" max="2308" width="10.5703125" style="105" customWidth="1"/>
    <col min="2309" max="2309" width="11" style="105" customWidth="1"/>
    <col min="2310" max="2312" width="10" style="105" bestFit="1" customWidth="1"/>
    <col min="2313" max="2313" width="11.42578125" style="105" bestFit="1" customWidth="1"/>
    <col min="2314" max="2315" width="9.140625" style="105"/>
    <col min="2316" max="2316" width="29.5703125" style="105" customWidth="1"/>
    <col min="2317" max="2317" width="10.140625" style="105" bestFit="1" customWidth="1"/>
    <col min="2318" max="2561" width="9.140625" style="105"/>
    <col min="2562" max="2562" width="38.140625" style="105" customWidth="1"/>
    <col min="2563" max="2563" width="11.85546875" style="105" customWidth="1"/>
    <col min="2564" max="2564" width="10.5703125" style="105" customWidth="1"/>
    <col min="2565" max="2565" width="11" style="105" customWidth="1"/>
    <col min="2566" max="2568" width="10" style="105" bestFit="1" customWidth="1"/>
    <col min="2569" max="2569" width="11.42578125" style="105" bestFit="1" customWidth="1"/>
    <col min="2570" max="2571" width="9.140625" style="105"/>
    <col min="2572" max="2572" width="29.5703125" style="105" customWidth="1"/>
    <col min="2573" max="2573" width="10.140625" style="105" bestFit="1" customWidth="1"/>
    <col min="2574" max="2817" width="9.140625" style="105"/>
    <col min="2818" max="2818" width="38.140625" style="105" customWidth="1"/>
    <col min="2819" max="2819" width="11.85546875" style="105" customWidth="1"/>
    <col min="2820" max="2820" width="10.5703125" style="105" customWidth="1"/>
    <col min="2821" max="2821" width="11" style="105" customWidth="1"/>
    <col min="2822" max="2824" width="10" style="105" bestFit="1" customWidth="1"/>
    <col min="2825" max="2825" width="11.42578125" style="105" bestFit="1" customWidth="1"/>
    <col min="2826" max="2827" width="9.140625" style="105"/>
    <col min="2828" max="2828" width="29.5703125" style="105" customWidth="1"/>
    <col min="2829" max="2829" width="10.140625" style="105" bestFit="1" customWidth="1"/>
    <col min="2830" max="3073" width="9.140625" style="105"/>
    <col min="3074" max="3074" width="38.140625" style="105" customWidth="1"/>
    <col min="3075" max="3075" width="11.85546875" style="105" customWidth="1"/>
    <col min="3076" max="3076" width="10.5703125" style="105" customWidth="1"/>
    <col min="3077" max="3077" width="11" style="105" customWidth="1"/>
    <col min="3078" max="3080" width="10" style="105" bestFit="1" customWidth="1"/>
    <col min="3081" max="3081" width="11.42578125" style="105" bestFit="1" customWidth="1"/>
    <col min="3082" max="3083" width="9.140625" style="105"/>
    <col min="3084" max="3084" width="29.5703125" style="105" customWidth="1"/>
    <col min="3085" max="3085" width="10.140625" style="105" bestFit="1" customWidth="1"/>
    <col min="3086" max="3329" width="9.140625" style="105"/>
    <col min="3330" max="3330" width="38.140625" style="105" customWidth="1"/>
    <col min="3331" max="3331" width="11.85546875" style="105" customWidth="1"/>
    <col min="3332" max="3332" width="10.5703125" style="105" customWidth="1"/>
    <col min="3333" max="3333" width="11" style="105" customWidth="1"/>
    <col min="3334" max="3336" width="10" style="105" bestFit="1" customWidth="1"/>
    <col min="3337" max="3337" width="11.42578125" style="105" bestFit="1" customWidth="1"/>
    <col min="3338" max="3339" width="9.140625" style="105"/>
    <col min="3340" max="3340" width="29.5703125" style="105" customWidth="1"/>
    <col min="3341" max="3341" width="10.140625" style="105" bestFit="1" customWidth="1"/>
    <col min="3342" max="3585" width="9.140625" style="105"/>
    <col min="3586" max="3586" width="38.140625" style="105" customWidth="1"/>
    <col min="3587" max="3587" width="11.85546875" style="105" customWidth="1"/>
    <col min="3588" max="3588" width="10.5703125" style="105" customWidth="1"/>
    <col min="3589" max="3589" width="11" style="105" customWidth="1"/>
    <col min="3590" max="3592" width="10" style="105" bestFit="1" customWidth="1"/>
    <col min="3593" max="3593" width="11.42578125" style="105" bestFit="1" customWidth="1"/>
    <col min="3594" max="3595" width="9.140625" style="105"/>
    <col min="3596" max="3596" width="29.5703125" style="105" customWidth="1"/>
    <col min="3597" max="3597" width="10.140625" style="105" bestFit="1" customWidth="1"/>
    <col min="3598" max="3841" width="9.140625" style="105"/>
    <col min="3842" max="3842" width="38.140625" style="105" customWidth="1"/>
    <col min="3843" max="3843" width="11.85546875" style="105" customWidth="1"/>
    <col min="3844" max="3844" width="10.5703125" style="105" customWidth="1"/>
    <col min="3845" max="3845" width="11" style="105" customWidth="1"/>
    <col min="3846" max="3848" width="10" style="105" bestFit="1" customWidth="1"/>
    <col min="3849" max="3849" width="11.42578125" style="105" bestFit="1" customWidth="1"/>
    <col min="3850" max="3851" width="9.140625" style="105"/>
    <col min="3852" max="3852" width="29.5703125" style="105" customWidth="1"/>
    <col min="3853" max="3853" width="10.140625" style="105" bestFit="1" customWidth="1"/>
    <col min="3854" max="4097" width="9.140625" style="105"/>
    <col min="4098" max="4098" width="38.140625" style="105" customWidth="1"/>
    <col min="4099" max="4099" width="11.85546875" style="105" customWidth="1"/>
    <col min="4100" max="4100" width="10.5703125" style="105" customWidth="1"/>
    <col min="4101" max="4101" width="11" style="105" customWidth="1"/>
    <col min="4102" max="4104" width="10" style="105" bestFit="1" customWidth="1"/>
    <col min="4105" max="4105" width="11.42578125" style="105" bestFit="1" customWidth="1"/>
    <col min="4106" max="4107" width="9.140625" style="105"/>
    <col min="4108" max="4108" width="29.5703125" style="105" customWidth="1"/>
    <col min="4109" max="4109" width="10.140625" style="105" bestFit="1" customWidth="1"/>
    <col min="4110" max="4353" width="9.140625" style="105"/>
    <col min="4354" max="4354" width="38.140625" style="105" customWidth="1"/>
    <col min="4355" max="4355" width="11.85546875" style="105" customWidth="1"/>
    <col min="4356" max="4356" width="10.5703125" style="105" customWidth="1"/>
    <col min="4357" max="4357" width="11" style="105" customWidth="1"/>
    <col min="4358" max="4360" width="10" style="105" bestFit="1" customWidth="1"/>
    <col min="4361" max="4361" width="11.42578125" style="105" bestFit="1" customWidth="1"/>
    <col min="4362" max="4363" width="9.140625" style="105"/>
    <col min="4364" max="4364" width="29.5703125" style="105" customWidth="1"/>
    <col min="4365" max="4365" width="10.140625" style="105" bestFit="1" customWidth="1"/>
    <col min="4366" max="4609" width="9.140625" style="105"/>
    <col min="4610" max="4610" width="38.140625" style="105" customWidth="1"/>
    <col min="4611" max="4611" width="11.85546875" style="105" customWidth="1"/>
    <col min="4612" max="4612" width="10.5703125" style="105" customWidth="1"/>
    <col min="4613" max="4613" width="11" style="105" customWidth="1"/>
    <col min="4614" max="4616" width="10" style="105" bestFit="1" customWidth="1"/>
    <col min="4617" max="4617" width="11.42578125" style="105" bestFit="1" customWidth="1"/>
    <col min="4618" max="4619" width="9.140625" style="105"/>
    <col min="4620" max="4620" width="29.5703125" style="105" customWidth="1"/>
    <col min="4621" max="4621" width="10.140625" style="105" bestFit="1" customWidth="1"/>
    <col min="4622" max="4865" width="9.140625" style="105"/>
    <col min="4866" max="4866" width="38.140625" style="105" customWidth="1"/>
    <col min="4867" max="4867" width="11.85546875" style="105" customWidth="1"/>
    <col min="4868" max="4868" width="10.5703125" style="105" customWidth="1"/>
    <col min="4869" max="4869" width="11" style="105" customWidth="1"/>
    <col min="4870" max="4872" width="10" style="105" bestFit="1" customWidth="1"/>
    <col min="4873" max="4873" width="11.42578125" style="105" bestFit="1" customWidth="1"/>
    <col min="4874" max="4875" width="9.140625" style="105"/>
    <col min="4876" max="4876" width="29.5703125" style="105" customWidth="1"/>
    <col min="4877" max="4877" width="10.140625" style="105" bestFit="1" customWidth="1"/>
    <col min="4878" max="5121" width="9.140625" style="105"/>
    <col min="5122" max="5122" width="38.140625" style="105" customWidth="1"/>
    <col min="5123" max="5123" width="11.85546875" style="105" customWidth="1"/>
    <col min="5124" max="5124" width="10.5703125" style="105" customWidth="1"/>
    <col min="5125" max="5125" width="11" style="105" customWidth="1"/>
    <col min="5126" max="5128" width="10" style="105" bestFit="1" customWidth="1"/>
    <col min="5129" max="5129" width="11.42578125" style="105" bestFit="1" customWidth="1"/>
    <col min="5130" max="5131" width="9.140625" style="105"/>
    <col min="5132" max="5132" width="29.5703125" style="105" customWidth="1"/>
    <col min="5133" max="5133" width="10.140625" style="105" bestFit="1" customWidth="1"/>
    <col min="5134" max="5377" width="9.140625" style="105"/>
    <col min="5378" max="5378" width="38.140625" style="105" customWidth="1"/>
    <col min="5379" max="5379" width="11.85546875" style="105" customWidth="1"/>
    <col min="5380" max="5380" width="10.5703125" style="105" customWidth="1"/>
    <col min="5381" max="5381" width="11" style="105" customWidth="1"/>
    <col min="5382" max="5384" width="10" style="105" bestFit="1" customWidth="1"/>
    <col min="5385" max="5385" width="11.42578125" style="105" bestFit="1" customWidth="1"/>
    <col min="5386" max="5387" width="9.140625" style="105"/>
    <col min="5388" max="5388" width="29.5703125" style="105" customWidth="1"/>
    <col min="5389" max="5389" width="10.140625" style="105" bestFit="1" customWidth="1"/>
    <col min="5390" max="5633" width="9.140625" style="105"/>
    <col min="5634" max="5634" width="38.140625" style="105" customWidth="1"/>
    <col min="5635" max="5635" width="11.85546875" style="105" customWidth="1"/>
    <col min="5636" max="5636" width="10.5703125" style="105" customWidth="1"/>
    <col min="5637" max="5637" width="11" style="105" customWidth="1"/>
    <col min="5638" max="5640" width="10" style="105" bestFit="1" customWidth="1"/>
    <col min="5641" max="5641" width="11.42578125" style="105" bestFit="1" customWidth="1"/>
    <col min="5642" max="5643" width="9.140625" style="105"/>
    <col min="5644" max="5644" width="29.5703125" style="105" customWidth="1"/>
    <col min="5645" max="5645" width="10.140625" style="105" bestFit="1" customWidth="1"/>
    <col min="5646" max="5889" width="9.140625" style="105"/>
    <col min="5890" max="5890" width="38.140625" style="105" customWidth="1"/>
    <col min="5891" max="5891" width="11.85546875" style="105" customWidth="1"/>
    <col min="5892" max="5892" width="10.5703125" style="105" customWidth="1"/>
    <col min="5893" max="5893" width="11" style="105" customWidth="1"/>
    <col min="5894" max="5896" width="10" style="105" bestFit="1" customWidth="1"/>
    <col min="5897" max="5897" width="11.42578125" style="105" bestFit="1" customWidth="1"/>
    <col min="5898" max="5899" width="9.140625" style="105"/>
    <col min="5900" max="5900" width="29.5703125" style="105" customWidth="1"/>
    <col min="5901" max="5901" width="10.140625" style="105" bestFit="1" customWidth="1"/>
    <col min="5902" max="6145" width="9.140625" style="105"/>
    <col min="6146" max="6146" width="38.140625" style="105" customWidth="1"/>
    <col min="6147" max="6147" width="11.85546875" style="105" customWidth="1"/>
    <col min="6148" max="6148" width="10.5703125" style="105" customWidth="1"/>
    <col min="6149" max="6149" width="11" style="105" customWidth="1"/>
    <col min="6150" max="6152" width="10" style="105" bestFit="1" customWidth="1"/>
    <col min="6153" max="6153" width="11.42578125" style="105" bestFit="1" customWidth="1"/>
    <col min="6154" max="6155" width="9.140625" style="105"/>
    <col min="6156" max="6156" width="29.5703125" style="105" customWidth="1"/>
    <col min="6157" max="6157" width="10.140625" style="105" bestFit="1" customWidth="1"/>
    <col min="6158" max="6401" width="9.140625" style="105"/>
    <col min="6402" max="6402" width="38.140625" style="105" customWidth="1"/>
    <col min="6403" max="6403" width="11.85546875" style="105" customWidth="1"/>
    <col min="6404" max="6404" width="10.5703125" style="105" customWidth="1"/>
    <col min="6405" max="6405" width="11" style="105" customWidth="1"/>
    <col min="6406" max="6408" width="10" style="105" bestFit="1" customWidth="1"/>
    <col min="6409" max="6409" width="11.42578125" style="105" bestFit="1" customWidth="1"/>
    <col min="6410" max="6411" width="9.140625" style="105"/>
    <col min="6412" max="6412" width="29.5703125" style="105" customWidth="1"/>
    <col min="6413" max="6413" width="10.140625" style="105" bestFit="1" customWidth="1"/>
    <col min="6414" max="6657" width="9.140625" style="105"/>
    <col min="6658" max="6658" width="38.140625" style="105" customWidth="1"/>
    <col min="6659" max="6659" width="11.85546875" style="105" customWidth="1"/>
    <col min="6660" max="6660" width="10.5703125" style="105" customWidth="1"/>
    <col min="6661" max="6661" width="11" style="105" customWidth="1"/>
    <col min="6662" max="6664" width="10" style="105" bestFit="1" customWidth="1"/>
    <col min="6665" max="6665" width="11.42578125" style="105" bestFit="1" customWidth="1"/>
    <col min="6666" max="6667" width="9.140625" style="105"/>
    <col min="6668" max="6668" width="29.5703125" style="105" customWidth="1"/>
    <col min="6669" max="6669" width="10.140625" style="105" bestFit="1" customWidth="1"/>
    <col min="6670" max="6913" width="9.140625" style="105"/>
    <col min="6914" max="6914" width="38.140625" style="105" customWidth="1"/>
    <col min="6915" max="6915" width="11.85546875" style="105" customWidth="1"/>
    <col min="6916" max="6916" width="10.5703125" style="105" customWidth="1"/>
    <col min="6917" max="6917" width="11" style="105" customWidth="1"/>
    <col min="6918" max="6920" width="10" style="105" bestFit="1" customWidth="1"/>
    <col min="6921" max="6921" width="11.42578125" style="105" bestFit="1" customWidth="1"/>
    <col min="6922" max="6923" width="9.140625" style="105"/>
    <col min="6924" max="6924" width="29.5703125" style="105" customWidth="1"/>
    <col min="6925" max="6925" width="10.140625" style="105" bestFit="1" customWidth="1"/>
    <col min="6926" max="7169" width="9.140625" style="105"/>
    <col min="7170" max="7170" width="38.140625" style="105" customWidth="1"/>
    <col min="7171" max="7171" width="11.85546875" style="105" customWidth="1"/>
    <col min="7172" max="7172" width="10.5703125" style="105" customWidth="1"/>
    <col min="7173" max="7173" width="11" style="105" customWidth="1"/>
    <col min="7174" max="7176" width="10" style="105" bestFit="1" customWidth="1"/>
    <col min="7177" max="7177" width="11.42578125" style="105" bestFit="1" customWidth="1"/>
    <col min="7178" max="7179" width="9.140625" style="105"/>
    <col min="7180" max="7180" width="29.5703125" style="105" customWidth="1"/>
    <col min="7181" max="7181" width="10.140625" style="105" bestFit="1" customWidth="1"/>
    <col min="7182" max="7425" width="9.140625" style="105"/>
    <col min="7426" max="7426" width="38.140625" style="105" customWidth="1"/>
    <col min="7427" max="7427" width="11.85546875" style="105" customWidth="1"/>
    <col min="7428" max="7428" width="10.5703125" style="105" customWidth="1"/>
    <col min="7429" max="7429" width="11" style="105" customWidth="1"/>
    <col min="7430" max="7432" width="10" style="105" bestFit="1" customWidth="1"/>
    <col min="7433" max="7433" width="11.42578125" style="105" bestFit="1" customWidth="1"/>
    <col min="7434" max="7435" width="9.140625" style="105"/>
    <col min="7436" max="7436" width="29.5703125" style="105" customWidth="1"/>
    <col min="7437" max="7437" width="10.140625" style="105" bestFit="1" customWidth="1"/>
    <col min="7438" max="7681" width="9.140625" style="105"/>
    <col min="7682" max="7682" width="38.140625" style="105" customWidth="1"/>
    <col min="7683" max="7683" width="11.85546875" style="105" customWidth="1"/>
    <col min="7684" max="7684" width="10.5703125" style="105" customWidth="1"/>
    <col min="7685" max="7685" width="11" style="105" customWidth="1"/>
    <col min="7686" max="7688" width="10" style="105" bestFit="1" customWidth="1"/>
    <col min="7689" max="7689" width="11.42578125" style="105" bestFit="1" customWidth="1"/>
    <col min="7690" max="7691" width="9.140625" style="105"/>
    <col min="7692" max="7692" width="29.5703125" style="105" customWidth="1"/>
    <col min="7693" max="7693" width="10.140625" style="105" bestFit="1" customWidth="1"/>
    <col min="7694" max="7937" width="9.140625" style="105"/>
    <col min="7938" max="7938" width="38.140625" style="105" customWidth="1"/>
    <col min="7939" max="7939" width="11.85546875" style="105" customWidth="1"/>
    <col min="7940" max="7940" width="10.5703125" style="105" customWidth="1"/>
    <col min="7941" max="7941" width="11" style="105" customWidth="1"/>
    <col min="7942" max="7944" width="10" style="105" bestFit="1" customWidth="1"/>
    <col min="7945" max="7945" width="11.42578125" style="105" bestFit="1" customWidth="1"/>
    <col min="7946" max="7947" width="9.140625" style="105"/>
    <col min="7948" max="7948" width="29.5703125" style="105" customWidth="1"/>
    <col min="7949" max="7949" width="10.140625" style="105" bestFit="1" customWidth="1"/>
    <col min="7950" max="8193" width="9.140625" style="105"/>
    <col min="8194" max="8194" width="38.140625" style="105" customWidth="1"/>
    <col min="8195" max="8195" width="11.85546875" style="105" customWidth="1"/>
    <col min="8196" max="8196" width="10.5703125" style="105" customWidth="1"/>
    <col min="8197" max="8197" width="11" style="105" customWidth="1"/>
    <col min="8198" max="8200" width="10" style="105" bestFit="1" customWidth="1"/>
    <col min="8201" max="8201" width="11.42578125" style="105" bestFit="1" customWidth="1"/>
    <col min="8202" max="8203" width="9.140625" style="105"/>
    <col min="8204" max="8204" width="29.5703125" style="105" customWidth="1"/>
    <col min="8205" max="8205" width="10.140625" style="105" bestFit="1" customWidth="1"/>
    <col min="8206" max="8449" width="9.140625" style="105"/>
    <col min="8450" max="8450" width="38.140625" style="105" customWidth="1"/>
    <col min="8451" max="8451" width="11.85546875" style="105" customWidth="1"/>
    <col min="8452" max="8452" width="10.5703125" style="105" customWidth="1"/>
    <col min="8453" max="8453" width="11" style="105" customWidth="1"/>
    <col min="8454" max="8456" width="10" style="105" bestFit="1" customWidth="1"/>
    <col min="8457" max="8457" width="11.42578125" style="105" bestFit="1" customWidth="1"/>
    <col min="8458" max="8459" width="9.140625" style="105"/>
    <col min="8460" max="8460" width="29.5703125" style="105" customWidth="1"/>
    <col min="8461" max="8461" width="10.140625" style="105" bestFit="1" customWidth="1"/>
    <col min="8462" max="8705" width="9.140625" style="105"/>
    <col min="8706" max="8706" width="38.140625" style="105" customWidth="1"/>
    <col min="8707" max="8707" width="11.85546875" style="105" customWidth="1"/>
    <col min="8708" max="8708" width="10.5703125" style="105" customWidth="1"/>
    <col min="8709" max="8709" width="11" style="105" customWidth="1"/>
    <col min="8710" max="8712" width="10" style="105" bestFit="1" customWidth="1"/>
    <col min="8713" max="8713" width="11.42578125" style="105" bestFit="1" customWidth="1"/>
    <col min="8714" max="8715" width="9.140625" style="105"/>
    <col min="8716" max="8716" width="29.5703125" style="105" customWidth="1"/>
    <col min="8717" max="8717" width="10.140625" style="105" bestFit="1" customWidth="1"/>
    <col min="8718" max="8961" width="9.140625" style="105"/>
    <col min="8962" max="8962" width="38.140625" style="105" customWidth="1"/>
    <col min="8963" max="8963" width="11.85546875" style="105" customWidth="1"/>
    <col min="8964" max="8964" width="10.5703125" style="105" customWidth="1"/>
    <col min="8965" max="8965" width="11" style="105" customWidth="1"/>
    <col min="8966" max="8968" width="10" style="105" bestFit="1" customWidth="1"/>
    <col min="8969" max="8969" width="11.42578125" style="105" bestFit="1" customWidth="1"/>
    <col min="8970" max="8971" width="9.140625" style="105"/>
    <col min="8972" max="8972" width="29.5703125" style="105" customWidth="1"/>
    <col min="8973" max="8973" width="10.140625" style="105" bestFit="1" customWidth="1"/>
    <col min="8974" max="9217" width="9.140625" style="105"/>
    <col min="9218" max="9218" width="38.140625" style="105" customWidth="1"/>
    <col min="9219" max="9219" width="11.85546875" style="105" customWidth="1"/>
    <col min="9220" max="9220" width="10.5703125" style="105" customWidth="1"/>
    <col min="9221" max="9221" width="11" style="105" customWidth="1"/>
    <col min="9222" max="9224" width="10" style="105" bestFit="1" customWidth="1"/>
    <col min="9225" max="9225" width="11.42578125" style="105" bestFit="1" customWidth="1"/>
    <col min="9226" max="9227" width="9.140625" style="105"/>
    <col min="9228" max="9228" width="29.5703125" style="105" customWidth="1"/>
    <col min="9229" max="9229" width="10.140625" style="105" bestFit="1" customWidth="1"/>
    <col min="9230" max="9473" width="9.140625" style="105"/>
    <col min="9474" max="9474" width="38.140625" style="105" customWidth="1"/>
    <col min="9475" max="9475" width="11.85546875" style="105" customWidth="1"/>
    <col min="9476" max="9476" width="10.5703125" style="105" customWidth="1"/>
    <col min="9477" max="9477" width="11" style="105" customWidth="1"/>
    <col min="9478" max="9480" width="10" style="105" bestFit="1" customWidth="1"/>
    <col min="9481" max="9481" width="11.42578125" style="105" bestFit="1" customWidth="1"/>
    <col min="9482" max="9483" width="9.140625" style="105"/>
    <col min="9484" max="9484" width="29.5703125" style="105" customWidth="1"/>
    <col min="9485" max="9485" width="10.140625" style="105" bestFit="1" customWidth="1"/>
    <col min="9486" max="9729" width="9.140625" style="105"/>
    <col min="9730" max="9730" width="38.140625" style="105" customWidth="1"/>
    <col min="9731" max="9731" width="11.85546875" style="105" customWidth="1"/>
    <col min="9732" max="9732" width="10.5703125" style="105" customWidth="1"/>
    <col min="9733" max="9733" width="11" style="105" customWidth="1"/>
    <col min="9734" max="9736" width="10" style="105" bestFit="1" customWidth="1"/>
    <col min="9737" max="9737" width="11.42578125" style="105" bestFit="1" customWidth="1"/>
    <col min="9738" max="9739" width="9.140625" style="105"/>
    <col min="9740" max="9740" width="29.5703125" style="105" customWidth="1"/>
    <col min="9741" max="9741" width="10.140625" style="105" bestFit="1" customWidth="1"/>
    <col min="9742" max="9985" width="9.140625" style="105"/>
    <col min="9986" max="9986" width="38.140625" style="105" customWidth="1"/>
    <col min="9987" max="9987" width="11.85546875" style="105" customWidth="1"/>
    <col min="9988" max="9988" width="10.5703125" style="105" customWidth="1"/>
    <col min="9989" max="9989" width="11" style="105" customWidth="1"/>
    <col min="9990" max="9992" width="10" style="105" bestFit="1" customWidth="1"/>
    <col min="9993" max="9993" width="11.42578125" style="105" bestFit="1" customWidth="1"/>
    <col min="9994" max="9995" width="9.140625" style="105"/>
    <col min="9996" max="9996" width="29.5703125" style="105" customWidth="1"/>
    <col min="9997" max="9997" width="10.140625" style="105" bestFit="1" customWidth="1"/>
    <col min="9998" max="10241" width="9.140625" style="105"/>
    <col min="10242" max="10242" width="38.140625" style="105" customWidth="1"/>
    <col min="10243" max="10243" width="11.85546875" style="105" customWidth="1"/>
    <col min="10244" max="10244" width="10.5703125" style="105" customWidth="1"/>
    <col min="10245" max="10245" width="11" style="105" customWidth="1"/>
    <col min="10246" max="10248" width="10" style="105" bestFit="1" customWidth="1"/>
    <col min="10249" max="10249" width="11.42578125" style="105" bestFit="1" customWidth="1"/>
    <col min="10250" max="10251" width="9.140625" style="105"/>
    <col min="10252" max="10252" width="29.5703125" style="105" customWidth="1"/>
    <col min="10253" max="10253" width="10.140625" style="105" bestFit="1" customWidth="1"/>
    <col min="10254" max="10497" width="9.140625" style="105"/>
    <col min="10498" max="10498" width="38.140625" style="105" customWidth="1"/>
    <col min="10499" max="10499" width="11.85546875" style="105" customWidth="1"/>
    <col min="10500" max="10500" width="10.5703125" style="105" customWidth="1"/>
    <col min="10501" max="10501" width="11" style="105" customWidth="1"/>
    <col min="10502" max="10504" width="10" style="105" bestFit="1" customWidth="1"/>
    <col min="10505" max="10505" width="11.42578125" style="105" bestFit="1" customWidth="1"/>
    <col min="10506" max="10507" width="9.140625" style="105"/>
    <col min="10508" max="10508" width="29.5703125" style="105" customWidth="1"/>
    <col min="10509" max="10509" width="10.140625" style="105" bestFit="1" customWidth="1"/>
    <col min="10510" max="10753" width="9.140625" style="105"/>
    <col min="10754" max="10754" width="38.140625" style="105" customWidth="1"/>
    <col min="10755" max="10755" width="11.85546875" style="105" customWidth="1"/>
    <col min="10756" max="10756" width="10.5703125" style="105" customWidth="1"/>
    <col min="10757" max="10757" width="11" style="105" customWidth="1"/>
    <col min="10758" max="10760" width="10" style="105" bestFit="1" customWidth="1"/>
    <col min="10761" max="10761" width="11.42578125" style="105" bestFit="1" customWidth="1"/>
    <col min="10762" max="10763" width="9.140625" style="105"/>
    <col min="10764" max="10764" width="29.5703125" style="105" customWidth="1"/>
    <col min="10765" max="10765" width="10.140625" style="105" bestFit="1" customWidth="1"/>
    <col min="10766" max="11009" width="9.140625" style="105"/>
    <col min="11010" max="11010" width="38.140625" style="105" customWidth="1"/>
    <col min="11011" max="11011" width="11.85546875" style="105" customWidth="1"/>
    <col min="11012" max="11012" width="10.5703125" style="105" customWidth="1"/>
    <col min="11013" max="11013" width="11" style="105" customWidth="1"/>
    <col min="11014" max="11016" width="10" style="105" bestFit="1" customWidth="1"/>
    <col min="11017" max="11017" width="11.42578125" style="105" bestFit="1" customWidth="1"/>
    <col min="11018" max="11019" width="9.140625" style="105"/>
    <col min="11020" max="11020" width="29.5703125" style="105" customWidth="1"/>
    <col min="11021" max="11021" width="10.140625" style="105" bestFit="1" customWidth="1"/>
    <col min="11022" max="11265" width="9.140625" style="105"/>
    <col min="11266" max="11266" width="38.140625" style="105" customWidth="1"/>
    <col min="11267" max="11267" width="11.85546875" style="105" customWidth="1"/>
    <col min="11268" max="11268" width="10.5703125" style="105" customWidth="1"/>
    <col min="11269" max="11269" width="11" style="105" customWidth="1"/>
    <col min="11270" max="11272" width="10" style="105" bestFit="1" customWidth="1"/>
    <col min="11273" max="11273" width="11.42578125" style="105" bestFit="1" customWidth="1"/>
    <col min="11274" max="11275" width="9.140625" style="105"/>
    <col min="11276" max="11276" width="29.5703125" style="105" customWidth="1"/>
    <col min="11277" max="11277" width="10.140625" style="105" bestFit="1" customWidth="1"/>
    <col min="11278" max="11521" width="9.140625" style="105"/>
    <col min="11522" max="11522" width="38.140625" style="105" customWidth="1"/>
    <col min="11523" max="11523" width="11.85546875" style="105" customWidth="1"/>
    <col min="11524" max="11524" width="10.5703125" style="105" customWidth="1"/>
    <col min="11525" max="11525" width="11" style="105" customWidth="1"/>
    <col min="11526" max="11528" width="10" style="105" bestFit="1" customWidth="1"/>
    <col min="11529" max="11529" width="11.42578125" style="105" bestFit="1" customWidth="1"/>
    <col min="11530" max="11531" width="9.140625" style="105"/>
    <col min="11532" max="11532" width="29.5703125" style="105" customWidth="1"/>
    <col min="11533" max="11533" width="10.140625" style="105" bestFit="1" customWidth="1"/>
    <col min="11534" max="11777" width="9.140625" style="105"/>
    <col min="11778" max="11778" width="38.140625" style="105" customWidth="1"/>
    <col min="11779" max="11779" width="11.85546875" style="105" customWidth="1"/>
    <col min="11780" max="11780" width="10.5703125" style="105" customWidth="1"/>
    <col min="11781" max="11781" width="11" style="105" customWidth="1"/>
    <col min="11782" max="11784" width="10" style="105" bestFit="1" customWidth="1"/>
    <col min="11785" max="11785" width="11.42578125" style="105" bestFit="1" customWidth="1"/>
    <col min="11786" max="11787" width="9.140625" style="105"/>
    <col min="11788" max="11788" width="29.5703125" style="105" customWidth="1"/>
    <col min="11789" max="11789" width="10.140625" style="105" bestFit="1" customWidth="1"/>
    <col min="11790" max="12033" width="9.140625" style="105"/>
    <col min="12034" max="12034" width="38.140625" style="105" customWidth="1"/>
    <col min="12035" max="12035" width="11.85546875" style="105" customWidth="1"/>
    <col min="12036" max="12036" width="10.5703125" style="105" customWidth="1"/>
    <col min="12037" max="12037" width="11" style="105" customWidth="1"/>
    <col min="12038" max="12040" width="10" style="105" bestFit="1" customWidth="1"/>
    <col min="12041" max="12041" width="11.42578125" style="105" bestFit="1" customWidth="1"/>
    <col min="12042" max="12043" width="9.140625" style="105"/>
    <col min="12044" max="12044" width="29.5703125" style="105" customWidth="1"/>
    <col min="12045" max="12045" width="10.140625" style="105" bestFit="1" customWidth="1"/>
    <col min="12046" max="12289" width="9.140625" style="105"/>
    <col min="12290" max="12290" width="38.140625" style="105" customWidth="1"/>
    <col min="12291" max="12291" width="11.85546875" style="105" customWidth="1"/>
    <col min="12292" max="12292" width="10.5703125" style="105" customWidth="1"/>
    <col min="12293" max="12293" width="11" style="105" customWidth="1"/>
    <col min="12294" max="12296" width="10" style="105" bestFit="1" customWidth="1"/>
    <col min="12297" max="12297" width="11.42578125" style="105" bestFit="1" customWidth="1"/>
    <col min="12298" max="12299" width="9.140625" style="105"/>
    <col min="12300" max="12300" width="29.5703125" style="105" customWidth="1"/>
    <col min="12301" max="12301" width="10.140625" style="105" bestFit="1" customWidth="1"/>
    <col min="12302" max="12545" width="9.140625" style="105"/>
    <col min="12546" max="12546" width="38.140625" style="105" customWidth="1"/>
    <col min="12547" max="12547" width="11.85546875" style="105" customWidth="1"/>
    <col min="12548" max="12548" width="10.5703125" style="105" customWidth="1"/>
    <col min="12549" max="12549" width="11" style="105" customWidth="1"/>
    <col min="12550" max="12552" width="10" style="105" bestFit="1" customWidth="1"/>
    <col min="12553" max="12553" width="11.42578125" style="105" bestFit="1" customWidth="1"/>
    <col min="12554" max="12555" width="9.140625" style="105"/>
    <col min="12556" max="12556" width="29.5703125" style="105" customWidth="1"/>
    <col min="12557" max="12557" width="10.140625" style="105" bestFit="1" customWidth="1"/>
    <col min="12558" max="12801" width="9.140625" style="105"/>
    <col min="12802" max="12802" width="38.140625" style="105" customWidth="1"/>
    <col min="12803" max="12803" width="11.85546875" style="105" customWidth="1"/>
    <col min="12804" max="12804" width="10.5703125" style="105" customWidth="1"/>
    <col min="12805" max="12805" width="11" style="105" customWidth="1"/>
    <col min="12806" max="12808" width="10" style="105" bestFit="1" customWidth="1"/>
    <col min="12809" max="12809" width="11.42578125" style="105" bestFit="1" customWidth="1"/>
    <col min="12810" max="12811" width="9.140625" style="105"/>
    <col min="12812" max="12812" width="29.5703125" style="105" customWidth="1"/>
    <col min="12813" max="12813" width="10.140625" style="105" bestFit="1" customWidth="1"/>
    <col min="12814" max="13057" width="9.140625" style="105"/>
    <col min="13058" max="13058" width="38.140625" style="105" customWidth="1"/>
    <col min="13059" max="13059" width="11.85546875" style="105" customWidth="1"/>
    <col min="13060" max="13060" width="10.5703125" style="105" customWidth="1"/>
    <col min="13061" max="13061" width="11" style="105" customWidth="1"/>
    <col min="13062" max="13064" width="10" style="105" bestFit="1" customWidth="1"/>
    <col min="13065" max="13065" width="11.42578125" style="105" bestFit="1" customWidth="1"/>
    <col min="13066" max="13067" width="9.140625" style="105"/>
    <col min="13068" max="13068" width="29.5703125" style="105" customWidth="1"/>
    <col min="13069" max="13069" width="10.140625" style="105" bestFit="1" customWidth="1"/>
    <col min="13070" max="13313" width="9.140625" style="105"/>
    <col min="13314" max="13314" width="38.140625" style="105" customWidth="1"/>
    <col min="13315" max="13315" width="11.85546875" style="105" customWidth="1"/>
    <col min="13316" max="13316" width="10.5703125" style="105" customWidth="1"/>
    <col min="13317" max="13317" width="11" style="105" customWidth="1"/>
    <col min="13318" max="13320" width="10" style="105" bestFit="1" customWidth="1"/>
    <col min="13321" max="13321" width="11.42578125" style="105" bestFit="1" customWidth="1"/>
    <col min="13322" max="13323" width="9.140625" style="105"/>
    <col min="13324" max="13324" width="29.5703125" style="105" customWidth="1"/>
    <col min="13325" max="13325" width="10.140625" style="105" bestFit="1" customWidth="1"/>
    <col min="13326" max="13569" width="9.140625" style="105"/>
    <col min="13570" max="13570" width="38.140625" style="105" customWidth="1"/>
    <col min="13571" max="13571" width="11.85546875" style="105" customWidth="1"/>
    <col min="13572" max="13572" width="10.5703125" style="105" customWidth="1"/>
    <col min="13573" max="13573" width="11" style="105" customWidth="1"/>
    <col min="13574" max="13576" width="10" style="105" bestFit="1" customWidth="1"/>
    <col min="13577" max="13577" width="11.42578125" style="105" bestFit="1" customWidth="1"/>
    <col min="13578" max="13579" width="9.140625" style="105"/>
    <col min="13580" max="13580" width="29.5703125" style="105" customWidth="1"/>
    <col min="13581" max="13581" width="10.140625" style="105" bestFit="1" customWidth="1"/>
    <col min="13582" max="13825" width="9.140625" style="105"/>
    <col min="13826" max="13826" width="38.140625" style="105" customWidth="1"/>
    <col min="13827" max="13827" width="11.85546875" style="105" customWidth="1"/>
    <col min="13828" max="13828" width="10.5703125" style="105" customWidth="1"/>
    <col min="13829" max="13829" width="11" style="105" customWidth="1"/>
    <col min="13830" max="13832" width="10" style="105" bestFit="1" customWidth="1"/>
    <col min="13833" max="13833" width="11.42578125" style="105" bestFit="1" customWidth="1"/>
    <col min="13834" max="13835" width="9.140625" style="105"/>
    <col min="13836" max="13836" width="29.5703125" style="105" customWidth="1"/>
    <col min="13837" max="13837" width="10.140625" style="105" bestFit="1" customWidth="1"/>
    <col min="13838" max="14081" width="9.140625" style="105"/>
    <col min="14082" max="14082" width="38.140625" style="105" customWidth="1"/>
    <col min="14083" max="14083" width="11.85546875" style="105" customWidth="1"/>
    <col min="14084" max="14084" width="10.5703125" style="105" customWidth="1"/>
    <col min="14085" max="14085" width="11" style="105" customWidth="1"/>
    <col min="14086" max="14088" width="10" style="105" bestFit="1" customWidth="1"/>
    <col min="14089" max="14089" width="11.42578125" style="105" bestFit="1" customWidth="1"/>
    <col min="14090" max="14091" width="9.140625" style="105"/>
    <col min="14092" max="14092" width="29.5703125" style="105" customWidth="1"/>
    <col min="14093" max="14093" width="10.140625" style="105" bestFit="1" customWidth="1"/>
    <col min="14094" max="14337" width="9.140625" style="105"/>
    <col min="14338" max="14338" width="38.140625" style="105" customWidth="1"/>
    <col min="14339" max="14339" width="11.85546875" style="105" customWidth="1"/>
    <col min="14340" max="14340" width="10.5703125" style="105" customWidth="1"/>
    <col min="14341" max="14341" width="11" style="105" customWidth="1"/>
    <col min="14342" max="14344" width="10" style="105" bestFit="1" customWidth="1"/>
    <col min="14345" max="14345" width="11.42578125" style="105" bestFit="1" customWidth="1"/>
    <col min="14346" max="14347" width="9.140625" style="105"/>
    <col min="14348" max="14348" width="29.5703125" style="105" customWidth="1"/>
    <col min="14349" max="14349" width="10.140625" style="105" bestFit="1" customWidth="1"/>
    <col min="14350" max="14593" width="9.140625" style="105"/>
    <col min="14594" max="14594" width="38.140625" style="105" customWidth="1"/>
    <col min="14595" max="14595" width="11.85546875" style="105" customWidth="1"/>
    <col min="14596" max="14596" width="10.5703125" style="105" customWidth="1"/>
    <col min="14597" max="14597" width="11" style="105" customWidth="1"/>
    <col min="14598" max="14600" width="10" style="105" bestFit="1" customWidth="1"/>
    <col min="14601" max="14601" width="11.42578125" style="105" bestFit="1" customWidth="1"/>
    <col min="14602" max="14603" width="9.140625" style="105"/>
    <col min="14604" max="14604" width="29.5703125" style="105" customWidth="1"/>
    <col min="14605" max="14605" width="10.140625" style="105" bestFit="1" customWidth="1"/>
    <col min="14606" max="14849" width="9.140625" style="105"/>
    <col min="14850" max="14850" width="38.140625" style="105" customWidth="1"/>
    <col min="14851" max="14851" width="11.85546875" style="105" customWidth="1"/>
    <col min="14852" max="14852" width="10.5703125" style="105" customWidth="1"/>
    <col min="14853" max="14853" width="11" style="105" customWidth="1"/>
    <col min="14854" max="14856" width="10" style="105" bestFit="1" customWidth="1"/>
    <col min="14857" max="14857" width="11.42578125" style="105" bestFit="1" customWidth="1"/>
    <col min="14858" max="14859" width="9.140625" style="105"/>
    <col min="14860" max="14860" width="29.5703125" style="105" customWidth="1"/>
    <col min="14861" max="14861" width="10.140625" style="105" bestFit="1" customWidth="1"/>
    <col min="14862" max="15105" width="9.140625" style="105"/>
    <col min="15106" max="15106" width="38.140625" style="105" customWidth="1"/>
    <col min="15107" max="15107" width="11.85546875" style="105" customWidth="1"/>
    <col min="15108" max="15108" width="10.5703125" style="105" customWidth="1"/>
    <col min="15109" max="15109" width="11" style="105" customWidth="1"/>
    <col min="15110" max="15112" width="10" style="105" bestFit="1" customWidth="1"/>
    <col min="15113" max="15113" width="11.42578125" style="105" bestFit="1" customWidth="1"/>
    <col min="15114" max="15115" width="9.140625" style="105"/>
    <col min="15116" max="15116" width="29.5703125" style="105" customWidth="1"/>
    <col min="15117" max="15117" width="10.140625" style="105" bestFit="1" customWidth="1"/>
    <col min="15118" max="15361" width="9.140625" style="105"/>
    <col min="15362" max="15362" width="38.140625" style="105" customWidth="1"/>
    <col min="15363" max="15363" width="11.85546875" style="105" customWidth="1"/>
    <col min="15364" max="15364" width="10.5703125" style="105" customWidth="1"/>
    <col min="15365" max="15365" width="11" style="105" customWidth="1"/>
    <col min="15366" max="15368" width="10" style="105" bestFit="1" customWidth="1"/>
    <col min="15369" max="15369" width="11.42578125" style="105" bestFit="1" customWidth="1"/>
    <col min="15370" max="15371" width="9.140625" style="105"/>
    <col min="15372" max="15372" width="29.5703125" style="105" customWidth="1"/>
    <col min="15373" max="15373" width="10.140625" style="105" bestFit="1" customWidth="1"/>
    <col min="15374" max="15617" width="9.140625" style="105"/>
    <col min="15618" max="15618" width="38.140625" style="105" customWidth="1"/>
    <col min="15619" max="15619" width="11.85546875" style="105" customWidth="1"/>
    <col min="15620" max="15620" width="10.5703125" style="105" customWidth="1"/>
    <col min="15621" max="15621" width="11" style="105" customWidth="1"/>
    <col min="15622" max="15624" width="10" style="105" bestFit="1" customWidth="1"/>
    <col min="15625" max="15625" width="11.42578125" style="105" bestFit="1" customWidth="1"/>
    <col min="15626" max="15627" width="9.140625" style="105"/>
    <col min="15628" max="15628" width="29.5703125" style="105" customWidth="1"/>
    <col min="15629" max="15629" width="10.140625" style="105" bestFit="1" customWidth="1"/>
    <col min="15630" max="15873" width="9.140625" style="105"/>
    <col min="15874" max="15874" width="38.140625" style="105" customWidth="1"/>
    <col min="15875" max="15875" width="11.85546875" style="105" customWidth="1"/>
    <col min="15876" max="15876" width="10.5703125" style="105" customWidth="1"/>
    <col min="15877" max="15877" width="11" style="105" customWidth="1"/>
    <col min="15878" max="15880" width="10" style="105" bestFit="1" customWidth="1"/>
    <col min="15881" max="15881" width="11.42578125" style="105" bestFit="1" customWidth="1"/>
    <col min="15882" max="15883" width="9.140625" style="105"/>
    <col min="15884" max="15884" width="29.5703125" style="105" customWidth="1"/>
    <col min="15885" max="15885" width="10.140625" style="105" bestFit="1" customWidth="1"/>
    <col min="15886" max="16129" width="9.140625" style="105"/>
    <col min="16130" max="16130" width="38.140625" style="105" customWidth="1"/>
    <col min="16131" max="16131" width="11.85546875" style="105" customWidth="1"/>
    <col min="16132" max="16132" width="10.5703125" style="105" customWidth="1"/>
    <col min="16133" max="16133" width="11" style="105" customWidth="1"/>
    <col min="16134" max="16136" width="10" style="105" bestFit="1" customWidth="1"/>
    <col min="16137" max="16137" width="11.42578125" style="105" bestFit="1" customWidth="1"/>
    <col min="16138" max="16139" width="9.140625" style="105"/>
    <col min="16140" max="16140" width="29.5703125" style="105" customWidth="1"/>
    <col min="16141" max="16141" width="10.140625" style="105" bestFit="1" customWidth="1"/>
    <col min="16142" max="16384" width="9.140625" style="105"/>
  </cols>
  <sheetData>
    <row r="1" spans="1:18" x14ac:dyDescent="0.25">
      <c r="A1" s="104"/>
      <c r="I1" s="107" t="s">
        <v>59</v>
      </c>
      <c r="J1" s="104"/>
      <c r="K1" s="104"/>
    </row>
    <row r="2" spans="1:18" ht="33" customHeight="1" x14ac:dyDescent="0.25">
      <c r="A2" s="321" t="s">
        <v>648</v>
      </c>
      <c r="B2" s="321"/>
      <c r="C2" s="321"/>
      <c r="D2" s="321"/>
      <c r="E2" s="321"/>
      <c r="F2" s="321"/>
      <c r="G2" s="321"/>
      <c r="H2" s="321"/>
      <c r="I2" s="321"/>
      <c r="J2" s="321"/>
      <c r="K2" s="321"/>
    </row>
    <row r="3" spans="1:18" ht="15.75" customHeight="1" x14ac:dyDescent="0.25">
      <c r="A3" s="322" t="s">
        <v>626</v>
      </c>
      <c r="B3" s="322"/>
      <c r="C3" s="322"/>
      <c r="D3" s="322"/>
      <c r="E3" s="322"/>
      <c r="F3" s="322"/>
      <c r="G3" s="322"/>
      <c r="H3" s="322"/>
      <c r="I3" s="322"/>
      <c r="J3" s="322"/>
      <c r="K3" s="322"/>
    </row>
    <row r="4" spans="1:18" x14ac:dyDescent="0.25">
      <c r="B4" s="171"/>
      <c r="C4" s="106"/>
      <c r="F4" s="106"/>
      <c r="J4" s="323" t="s">
        <v>252</v>
      </c>
      <c r="K4" s="323"/>
    </row>
    <row r="5" spans="1:18" x14ac:dyDescent="0.25">
      <c r="A5" s="324" t="s">
        <v>2</v>
      </c>
      <c r="B5" s="324" t="s">
        <v>546</v>
      </c>
      <c r="C5" s="324" t="s">
        <v>150</v>
      </c>
      <c r="D5" s="324" t="s">
        <v>197</v>
      </c>
      <c r="E5" s="324"/>
      <c r="F5" s="324" t="s">
        <v>108</v>
      </c>
      <c r="G5" s="324" t="s">
        <v>197</v>
      </c>
      <c r="H5" s="324"/>
      <c r="I5" s="324" t="s">
        <v>109</v>
      </c>
      <c r="J5" s="324"/>
      <c r="K5" s="324"/>
    </row>
    <row r="6" spans="1:18" ht="52.9" customHeight="1" x14ac:dyDescent="0.25">
      <c r="A6" s="324"/>
      <c r="B6" s="324"/>
      <c r="C6" s="324"/>
      <c r="D6" s="53" t="s">
        <v>386</v>
      </c>
      <c r="E6" s="53" t="s">
        <v>387</v>
      </c>
      <c r="F6" s="324"/>
      <c r="G6" s="53" t="s">
        <v>386</v>
      </c>
      <c r="H6" s="53" t="s">
        <v>387</v>
      </c>
      <c r="I6" s="53" t="s">
        <v>200</v>
      </c>
      <c r="J6" s="53" t="s">
        <v>198</v>
      </c>
      <c r="K6" s="53" t="s">
        <v>199</v>
      </c>
    </row>
    <row r="7" spans="1:18" x14ac:dyDescent="0.25">
      <c r="A7" s="108" t="s">
        <v>7</v>
      </c>
      <c r="B7" s="108" t="s">
        <v>8</v>
      </c>
      <c r="C7" s="108" t="s">
        <v>60</v>
      </c>
      <c r="D7" s="108">
        <v>2</v>
      </c>
      <c r="E7" s="108">
        <v>3</v>
      </c>
      <c r="F7" s="108" t="s">
        <v>61</v>
      </c>
      <c r="G7" s="108">
        <v>5</v>
      </c>
      <c r="H7" s="108">
        <v>6</v>
      </c>
      <c r="I7" s="108" t="s">
        <v>62</v>
      </c>
      <c r="J7" s="108" t="s">
        <v>63</v>
      </c>
      <c r="K7" s="108" t="s">
        <v>64</v>
      </c>
      <c r="L7" s="173"/>
      <c r="M7" s="173"/>
      <c r="N7" s="173"/>
      <c r="O7" s="173"/>
      <c r="P7" s="173"/>
      <c r="Q7" s="173"/>
    </row>
    <row r="8" spans="1:18" ht="19.149999999999999" customHeight="1" x14ac:dyDescent="0.25">
      <c r="A8" s="198"/>
      <c r="B8" s="199" t="s">
        <v>20</v>
      </c>
      <c r="C8" s="226">
        <f>D8+E8</f>
        <v>10886896.602868229</v>
      </c>
      <c r="D8" s="226">
        <f>D9+D32+D65</f>
        <v>6680414.0028682286</v>
      </c>
      <c r="E8" s="226">
        <f>E9+E32+E65</f>
        <v>4206482.5999999996</v>
      </c>
      <c r="F8" s="226">
        <f>'[1]Bieu 51'!E7</f>
        <v>13280792.109786998</v>
      </c>
      <c r="G8" s="226">
        <f>G9+G32+G65+G66</f>
        <v>6467183.3752800012</v>
      </c>
      <c r="H8" s="226">
        <f>F8-G8</f>
        <v>6813608.7345069973</v>
      </c>
      <c r="I8" s="200">
        <v>121.98877783305191</v>
      </c>
      <c r="J8" s="200">
        <v>96.808122558022944</v>
      </c>
      <c r="K8" s="200">
        <v>161.97876901967925</v>
      </c>
      <c r="L8" s="172"/>
      <c r="M8" s="172"/>
      <c r="N8" s="172"/>
      <c r="O8" s="172"/>
      <c r="P8" s="172"/>
      <c r="Q8" s="172"/>
      <c r="R8" s="106"/>
    </row>
    <row r="9" spans="1:18" ht="31.5" x14ac:dyDescent="0.25">
      <c r="A9" s="85" t="s">
        <v>7</v>
      </c>
      <c r="B9" s="86" t="s">
        <v>240</v>
      </c>
      <c r="C9" s="227">
        <f t="shared" ref="C9:C10" si="0">D9+E9</f>
        <v>7738172.6028682282</v>
      </c>
      <c r="D9" s="215">
        <f>D10+D31</f>
        <v>3532642.0028682286</v>
      </c>
      <c r="E9" s="215">
        <f>E10+E31</f>
        <v>4205530.5999999996</v>
      </c>
      <c r="F9" s="215">
        <f>F10+F31</f>
        <v>6393264.4224129999</v>
      </c>
      <c r="G9" s="215">
        <f>G10+G31</f>
        <v>2352160.0551090003</v>
      </c>
      <c r="H9" s="215">
        <f>H10+H31</f>
        <v>4041104.1673039994</v>
      </c>
      <c r="I9" s="62">
        <v>82.61982189494293</v>
      </c>
      <c r="J9" s="62">
        <v>66.58359531475962</v>
      </c>
      <c r="K9" s="62">
        <v>96.090233353765157</v>
      </c>
      <c r="L9" s="172"/>
      <c r="M9" s="172"/>
      <c r="N9" s="172"/>
      <c r="O9" s="172"/>
      <c r="P9" s="172"/>
      <c r="Q9" s="172"/>
    </row>
    <row r="10" spans="1:18" ht="15.75" x14ac:dyDescent="0.25">
      <c r="A10" s="85" t="s">
        <v>241</v>
      </c>
      <c r="B10" s="86" t="s">
        <v>65</v>
      </c>
      <c r="C10" s="227">
        <f t="shared" si="0"/>
        <v>7660972.6028682282</v>
      </c>
      <c r="D10" s="215">
        <f>D11+D21+D25+D26+D27+D28+D29</f>
        <v>3455442.0028682286</v>
      </c>
      <c r="E10" s="215">
        <f>E11+E21+E25+E26+E27+E28+E29</f>
        <v>4205530.5999999996</v>
      </c>
      <c r="F10" s="215">
        <f>F11+F21+F25+F26+F27+F29+F28+F30+0.2</f>
        <v>6381057.9592829999</v>
      </c>
      <c r="G10" s="215">
        <f>G11+G21+G25+G26+G27+G29+G28+G30</f>
        <v>2339953.5919790003</v>
      </c>
      <c r="H10" s="215">
        <f>H11+H21+H25+H26+H27+H29</f>
        <v>4041104.1673039994</v>
      </c>
      <c r="I10" s="62">
        <v>83.293052854594009</v>
      </c>
      <c r="J10" s="62">
        <v>67.717924075608721</v>
      </c>
      <c r="K10" s="62">
        <v>96.090233353765157</v>
      </c>
      <c r="L10" s="172"/>
      <c r="M10" s="172"/>
      <c r="N10" s="172"/>
      <c r="O10" s="172"/>
      <c r="P10" s="172"/>
      <c r="Q10" s="172"/>
    </row>
    <row r="11" spans="1:18" ht="15.75" x14ac:dyDescent="0.25">
      <c r="A11" s="85" t="s">
        <v>39</v>
      </c>
      <c r="B11" s="86" t="s">
        <v>21</v>
      </c>
      <c r="C11" s="227">
        <f>D11+E11</f>
        <v>1009036.6</v>
      </c>
      <c r="D11" s="227">
        <f>D12+D19+D20</f>
        <v>369061</v>
      </c>
      <c r="E11" s="227">
        <f>E12+E19+E20</f>
        <v>639975.6</v>
      </c>
      <c r="F11" s="215">
        <f>'[1]Bieu 51'!E10</f>
        <v>934996.24130999972</v>
      </c>
      <c r="G11" s="228">
        <f>G12+G19+G20</f>
        <v>435977.54930900031</v>
      </c>
      <c r="H11" s="228">
        <f>H12+H19+H20</f>
        <v>499018.69200099941</v>
      </c>
      <c r="I11" s="62">
        <v>92.662272241660986</v>
      </c>
      <c r="J11" s="62">
        <v>118.13156884878117</v>
      </c>
      <c r="K11" s="62">
        <v>77.974643408436108</v>
      </c>
      <c r="L11" s="172"/>
      <c r="M11" s="172"/>
      <c r="N11" s="172"/>
      <c r="O11" s="172"/>
      <c r="P11" s="172"/>
      <c r="Q11" s="172"/>
    </row>
    <row r="12" spans="1:18" ht="15.75" x14ac:dyDescent="0.25">
      <c r="A12" s="125">
        <v>1</v>
      </c>
      <c r="B12" s="33" t="s">
        <v>433</v>
      </c>
      <c r="C12" s="229">
        <f>D12+E12</f>
        <v>1009036.6</v>
      </c>
      <c r="D12" s="230">
        <v>369061</v>
      </c>
      <c r="E12" s="230">
        <v>639975.6</v>
      </c>
      <c r="F12" s="231">
        <f>'[1]Bieu 51'!E11</f>
        <v>929539.24130999972</v>
      </c>
      <c r="G12" s="74">
        <f>'[1]bieu 52'!D13-G38-'[1]Bieu 61'!AB13</f>
        <v>430520.54930900031</v>
      </c>
      <c r="H12" s="74">
        <f>F12-G12</f>
        <v>499018.69200099941</v>
      </c>
      <c r="I12" s="69">
        <v>92.121459351424889</v>
      </c>
      <c r="J12" s="69">
        <v>116.65295149284273</v>
      </c>
      <c r="K12" s="69">
        <v>77.974643408436108</v>
      </c>
      <c r="L12" s="172"/>
      <c r="M12" s="172"/>
      <c r="N12" s="172"/>
      <c r="O12" s="172"/>
      <c r="P12" s="172"/>
      <c r="Q12" s="172"/>
    </row>
    <row r="13" spans="1:18" s="160" customFormat="1" ht="15.75" hidden="1" x14ac:dyDescent="0.25">
      <c r="A13" s="232"/>
      <c r="B13" s="233" t="s">
        <v>434</v>
      </c>
      <c r="C13" s="234">
        <f>D13+E13</f>
        <v>0</v>
      </c>
      <c r="D13" s="235"/>
      <c r="E13" s="235"/>
      <c r="F13" s="232"/>
      <c r="G13" s="236"/>
      <c r="H13" s="236"/>
      <c r="I13" s="237">
        <v>0</v>
      </c>
      <c r="J13" s="237">
        <v>0</v>
      </c>
      <c r="K13" s="237">
        <v>0</v>
      </c>
      <c r="L13" s="172"/>
      <c r="M13" s="172"/>
      <c r="N13" s="172"/>
      <c r="O13" s="172"/>
      <c r="P13" s="172"/>
      <c r="Q13" s="172"/>
    </row>
    <row r="14" spans="1:18" s="160" customFormat="1" ht="15.75" hidden="1" x14ac:dyDescent="0.25">
      <c r="A14" s="232" t="s">
        <v>12</v>
      </c>
      <c r="B14" s="233" t="s">
        <v>67</v>
      </c>
      <c r="C14" s="234">
        <f t="shared" ref="C14:C18" si="1">D14+E14</f>
        <v>0</v>
      </c>
      <c r="D14" s="235"/>
      <c r="E14" s="235"/>
      <c r="F14" s="238">
        <f>'[1]Bieu 51'!E13</f>
        <v>0</v>
      </c>
      <c r="G14" s="236"/>
      <c r="H14" s="236"/>
      <c r="I14" s="237">
        <v>0</v>
      </c>
      <c r="J14" s="237">
        <v>0</v>
      </c>
      <c r="K14" s="237">
        <v>0</v>
      </c>
      <c r="L14" s="172"/>
      <c r="M14" s="172"/>
      <c r="N14" s="172"/>
      <c r="O14" s="172"/>
      <c r="P14" s="172"/>
      <c r="Q14" s="172"/>
    </row>
    <row r="15" spans="1:18" s="160" customFormat="1" ht="15.75" hidden="1" x14ac:dyDescent="0.25">
      <c r="A15" s="232" t="s">
        <v>12</v>
      </c>
      <c r="B15" s="233" t="s">
        <v>435</v>
      </c>
      <c r="C15" s="234">
        <f t="shared" si="1"/>
        <v>0</v>
      </c>
      <c r="D15" s="235"/>
      <c r="E15" s="235">
        <v>0</v>
      </c>
      <c r="F15" s="238">
        <f>'[1]Bieu 51'!E14</f>
        <v>0</v>
      </c>
      <c r="G15" s="236"/>
      <c r="H15" s="236"/>
      <c r="I15" s="237">
        <v>0</v>
      </c>
      <c r="J15" s="237">
        <v>0</v>
      </c>
      <c r="K15" s="237">
        <v>0</v>
      </c>
      <c r="L15" s="172"/>
      <c r="M15" s="172"/>
      <c r="N15" s="172"/>
      <c r="O15" s="172"/>
      <c r="P15" s="172"/>
      <c r="Q15" s="172"/>
    </row>
    <row r="16" spans="1:18" s="160" customFormat="1" ht="15.75" x14ac:dyDescent="0.25">
      <c r="A16" s="232"/>
      <c r="B16" s="233" t="s">
        <v>201</v>
      </c>
      <c r="C16" s="234">
        <f t="shared" si="1"/>
        <v>0</v>
      </c>
      <c r="D16" s="235"/>
      <c r="E16" s="235"/>
      <c r="F16" s="232"/>
      <c r="G16" s="236"/>
      <c r="H16" s="236"/>
      <c r="I16" s="237">
        <v>0</v>
      </c>
      <c r="J16" s="237">
        <v>0</v>
      </c>
      <c r="K16" s="237">
        <v>0</v>
      </c>
      <c r="L16" s="172"/>
      <c r="M16" s="172"/>
      <c r="N16" s="172"/>
      <c r="O16" s="172"/>
      <c r="P16" s="172"/>
      <c r="Q16" s="172"/>
    </row>
    <row r="17" spans="1:17" s="160" customFormat="1" ht="23.25" customHeight="1" x14ac:dyDescent="0.25">
      <c r="A17" s="232" t="s">
        <v>12</v>
      </c>
      <c r="B17" s="233" t="s">
        <v>69</v>
      </c>
      <c r="C17" s="234">
        <f t="shared" si="1"/>
        <v>399999.6</v>
      </c>
      <c r="D17" s="235">
        <v>28000</v>
      </c>
      <c r="E17" s="235">
        <v>371999.6</v>
      </c>
      <c r="F17" s="238">
        <f>'[1]Bieu 51'!E16</f>
        <v>0</v>
      </c>
      <c r="G17" s="236"/>
      <c r="H17" s="236">
        <f>F17-G17</f>
        <v>0</v>
      </c>
      <c r="I17" s="237">
        <v>0</v>
      </c>
      <c r="J17" s="237">
        <v>0</v>
      </c>
      <c r="K17" s="237">
        <v>0</v>
      </c>
      <c r="L17" s="172"/>
      <c r="M17" s="172"/>
      <c r="N17" s="172"/>
      <c r="O17" s="172"/>
      <c r="P17" s="172"/>
      <c r="Q17" s="172"/>
    </row>
    <row r="18" spans="1:17" s="160" customFormat="1" ht="24.75" customHeight="1" x14ac:dyDescent="0.25">
      <c r="A18" s="232" t="s">
        <v>12</v>
      </c>
      <c r="B18" s="233" t="s">
        <v>70</v>
      </c>
      <c r="C18" s="234">
        <f t="shared" si="1"/>
        <v>77000</v>
      </c>
      <c r="D18" s="235">
        <v>68705</v>
      </c>
      <c r="E18" s="235">
        <v>8295</v>
      </c>
      <c r="F18" s="238">
        <f>'[1]Bieu 51'!E17</f>
        <v>92630.203923000008</v>
      </c>
      <c r="G18" s="236">
        <v>92630.203923000008</v>
      </c>
      <c r="H18" s="236">
        <f>F18-G18</f>
        <v>0</v>
      </c>
      <c r="I18" s="237">
        <v>120.29896613376624</v>
      </c>
      <c r="J18" s="237">
        <v>134.82308991048689</v>
      </c>
      <c r="K18" s="237">
        <v>0</v>
      </c>
      <c r="L18" s="172"/>
      <c r="M18" s="172"/>
      <c r="N18" s="172"/>
      <c r="O18" s="172"/>
      <c r="P18" s="172"/>
      <c r="Q18" s="172"/>
    </row>
    <row r="19" spans="1:17" ht="67.5" customHeight="1" x14ac:dyDescent="0.25">
      <c r="A19" s="125">
        <v>2</v>
      </c>
      <c r="B19" s="33" t="s">
        <v>202</v>
      </c>
      <c r="C19" s="229"/>
      <c r="D19" s="229"/>
      <c r="E19" s="230">
        <f t="shared" ref="E19:E20" si="2">C19-D19</f>
        <v>0</v>
      </c>
      <c r="F19" s="229">
        <f>G19+H19</f>
        <v>5457</v>
      </c>
      <c r="G19" s="229">
        <v>5457</v>
      </c>
      <c r="H19" s="229"/>
      <c r="I19" s="69">
        <v>0</v>
      </c>
      <c r="J19" s="69">
        <v>0</v>
      </c>
      <c r="K19" s="69">
        <v>0</v>
      </c>
      <c r="L19" s="172"/>
      <c r="M19" s="172"/>
      <c r="N19" s="172"/>
      <c r="O19" s="172"/>
      <c r="P19" s="172"/>
      <c r="Q19" s="172"/>
    </row>
    <row r="20" spans="1:17" ht="15.75" x14ac:dyDescent="0.25">
      <c r="A20" s="125">
        <v>3</v>
      </c>
      <c r="B20" s="33" t="s">
        <v>71</v>
      </c>
      <c r="C20" s="229"/>
      <c r="D20" s="229">
        <v>0</v>
      </c>
      <c r="E20" s="230">
        <f t="shared" si="2"/>
        <v>0</v>
      </c>
      <c r="F20" s="229">
        <f>G20+H20</f>
        <v>0</v>
      </c>
      <c r="G20" s="229"/>
      <c r="H20" s="229"/>
      <c r="I20" s="69">
        <v>0</v>
      </c>
      <c r="J20" s="69">
        <v>0</v>
      </c>
      <c r="K20" s="69">
        <v>0</v>
      </c>
      <c r="L20" s="172"/>
      <c r="M20" s="172"/>
      <c r="N20" s="172"/>
      <c r="O20" s="172"/>
      <c r="P20" s="172"/>
      <c r="Q20" s="172"/>
    </row>
    <row r="21" spans="1:17" s="104" customFormat="1" ht="15.75" x14ac:dyDescent="0.25">
      <c r="A21" s="85" t="s">
        <v>25</v>
      </c>
      <c r="B21" s="86" t="s">
        <v>22</v>
      </c>
      <c r="C21" s="227">
        <f>D21+E21</f>
        <v>5267711</v>
      </c>
      <c r="D21" s="227">
        <v>1830275</v>
      </c>
      <c r="E21" s="227">
        <v>3437436</v>
      </c>
      <c r="F21" s="227">
        <f>'[1]Bieu 51'!E20</f>
        <v>5302320.2779660001</v>
      </c>
      <c r="G21" s="227">
        <f>'[1]bieu 52'!D29-G53-'[1]Bieu 61'!AC13</f>
        <v>1760234.8026630003</v>
      </c>
      <c r="H21" s="227">
        <f>F21-G21</f>
        <v>3542085.4753029998</v>
      </c>
      <c r="I21" s="62">
        <v>100.65700791038081</v>
      </c>
      <c r="J21" s="62">
        <v>96.173241871467425</v>
      </c>
      <c r="K21" s="62">
        <v>103.04440505373773</v>
      </c>
      <c r="L21" s="172"/>
      <c r="M21" s="172"/>
      <c r="N21" s="172"/>
      <c r="O21" s="172"/>
      <c r="P21" s="172"/>
      <c r="Q21" s="172"/>
    </row>
    <row r="22" spans="1:17" ht="15.75" x14ac:dyDescent="0.25">
      <c r="A22" s="125"/>
      <c r="B22" s="233" t="s">
        <v>72</v>
      </c>
      <c r="C22" s="227"/>
      <c r="D22" s="229"/>
      <c r="E22" s="229"/>
      <c r="F22" s="229"/>
      <c r="G22" s="229"/>
      <c r="H22" s="229"/>
      <c r="I22" s="69">
        <v>0</v>
      </c>
      <c r="J22" s="69">
        <v>0</v>
      </c>
      <c r="K22" s="69">
        <v>0</v>
      </c>
      <c r="L22" s="172"/>
      <c r="M22" s="172"/>
      <c r="N22" s="172"/>
      <c r="O22" s="172"/>
      <c r="P22" s="172"/>
      <c r="Q22" s="172"/>
    </row>
    <row r="23" spans="1:17" ht="15.75" x14ac:dyDescent="0.25">
      <c r="A23" s="232">
        <v>1</v>
      </c>
      <c r="B23" s="233" t="s">
        <v>67</v>
      </c>
      <c r="C23" s="234">
        <f>D23+E23</f>
        <v>2409053</v>
      </c>
      <c r="D23" s="234">
        <v>425424</v>
      </c>
      <c r="E23" s="234">
        <v>1983629</v>
      </c>
      <c r="F23" s="234">
        <f>'[1]Bieu 51'!E22</f>
        <v>2565200.1236549998</v>
      </c>
      <c r="G23" s="234">
        <f>F23-H23</f>
        <v>485995.90009200014</v>
      </c>
      <c r="H23" s="234">
        <f>'[1]Bieu 58'!U12</f>
        <v>2079204.2235629996</v>
      </c>
      <c r="I23" s="237">
        <v>106.48168071250403</v>
      </c>
      <c r="J23" s="237">
        <v>114.23800728026632</v>
      </c>
      <c r="K23" s="237">
        <v>104.81820055882424</v>
      </c>
      <c r="L23" s="172"/>
      <c r="M23" s="172"/>
      <c r="N23" s="172"/>
      <c r="O23" s="172"/>
      <c r="P23" s="172"/>
      <c r="Q23" s="172"/>
    </row>
    <row r="24" spans="1:17" ht="15.75" x14ac:dyDescent="0.25">
      <c r="A24" s="232">
        <v>2</v>
      </c>
      <c r="B24" s="233" t="s">
        <v>68</v>
      </c>
      <c r="C24" s="234">
        <f>D24+E24</f>
        <v>16929</v>
      </c>
      <c r="D24" s="234">
        <v>14929</v>
      </c>
      <c r="E24" s="234">
        <v>2000</v>
      </c>
      <c r="F24" s="238">
        <f>'[1]Bieu 51'!E23</f>
        <v>10721.876273000002</v>
      </c>
      <c r="G24" s="234">
        <f>'[1]bieu 52'!D31</f>
        <v>8667.0846550000006</v>
      </c>
      <c r="H24" s="234">
        <f>F24-G24</f>
        <v>2054.7916180000011</v>
      </c>
      <c r="I24" s="237">
        <v>63.334374582078098</v>
      </c>
      <c r="J24" s="237">
        <v>58.055359736084135</v>
      </c>
      <c r="K24" s="237">
        <v>102.73958090000006</v>
      </c>
      <c r="L24" s="172"/>
      <c r="M24" s="172"/>
      <c r="N24" s="172"/>
      <c r="O24" s="172"/>
      <c r="P24" s="172"/>
      <c r="Q24" s="172"/>
    </row>
    <row r="25" spans="1:17" s="104" customFormat="1" ht="15.75" x14ac:dyDescent="0.25">
      <c r="A25" s="85" t="s">
        <v>29</v>
      </c>
      <c r="B25" s="86" t="s">
        <v>636</v>
      </c>
      <c r="C25" s="227">
        <f>D25+E25</f>
        <v>2200</v>
      </c>
      <c r="D25" s="227">
        <v>2200</v>
      </c>
      <c r="E25" s="227"/>
      <c r="F25" s="227">
        <f>'[1]Bieu 51'!E24</f>
        <v>1649.2660000000001</v>
      </c>
      <c r="G25" s="227">
        <f>'[1]bieu 52'!D43</f>
        <v>1649.2660000000001</v>
      </c>
      <c r="H25" s="227">
        <f>F25-G25</f>
        <v>0</v>
      </c>
      <c r="I25" s="62">
        <v>74.966636363636368</v>
      </c>
      <c r="J25" s="62">
        <v>74.966636363636368</v>
      </c>
      <c r="K25" s="62">
        <v>0</v>
      </c>
      <c r="L25" s="172"/>
      <c r="M25" s="172"/>
      <c r="N25" s="172"/>
      <c r="O25" s="172"/>
      <c r="P25" s="172"/>
      <c r="Q25" s="172"/>
    </row>
    <row r="26" spans="1:17" s="104" customFormat="1" ht="15.75" x14ac:dyDescent="0.25">
      <c r="A26" s="85" t="s">
        <v>56</v>
      </c>
      <c r="B26" s="86" t="s">
        <v>23</v>
      </c>
      <c r="C26" s="227">
        <f t="shared" ref="C26:C28" si="3">D26+E26</f>
        <v>1000</v>
      </c>
      <c r="D26" s="227">
        <v>1000</v>
      </c>
      <c r="E26" s="227"/>
      <c r="F26" s="227">
        <f>'[1]Bieu 51'!E25</f>
        <v>1000</v>
      </c>
      <c r="G26" s="227">
        <f>'[1]bieu 52'!D44</f>
        <v>1000</v>
      </c>
      <c r="H26" s="227">
        <f>F26-G26</f>
        <v>0</v>
      </c>
      <c r="I26" s="62">
        <v>100</v>
      </c>
      <c r="J26" s="62">
        <v>100</v>
      </c>
      <c r="K26" s="62">
        <v>0</v>
      </c>
      <c r="L26" s="172"/>
      <c r="M26" s="172"/>
      <c r="N26" s="172"/>
      <c r="O26" s="172"/>
      <c r="P26" s="172"/>
      <c r="Q26" s="172"/>
    </row>
    <row r="27" spans="1:17" s="104" customFormat="1" ht="15.75" x14ac:dyDescent="0.25">
      <c r="A27" s="85" t="s">
        <v>73</v>
      </c>
      <c r="B27" s="86" t="s">
        <v>24</v>
      </c>
      <c r="C27" s="227">
        <f t="shared" si="3"/>
        <v>153219.00286822853</v>
      </c>
      <c r="D27" s="227">
        <v>74046.002868228534</v>
      </c>
      <c r="E27" s="227">
        <v>79173</v>
      </c>
      <c r="F27" s="227"/>
      <c r="G27" s="227"/>
      <c r="H27" s="227"/>
      <c r="I27" s="62">
        <v>0</v>
      </c>
      <c r="J27" s="62">
        <v>0</v>
      </c>
      <c r="K27" s="62">
        <v>0</v>
      </c>
      <c r="L27" s="172"/>
      <c r="M27" s="172"/>
      <c r="N27" s="172"/>
      <c r="O27" s="172"/>
      <c r="P27" s="172"/>
      <c r="Q27" s="172"/>
    </row>
    <row r="28" spans="1:17" s="104" customFormat="1" ht="99" customHeight="1" x14ac:dyDescent="0.25">
      <c r="A28" s="85" t="s">
        <v>74</v>
      </c>
      <c r="B28" s="86" t="s">
        <v>436</v>
      </c>
      <c r="C28" s="227">
        <f t="shared" si="3"/>
        <v>1227806</v>
      </c>
      <c r="D28" s="227">
        <v>1178860</v>
      </c>
      <c r="E28" s="227">
        <v>48946</v>
      </c>
      <c r="F28" s="227">
        <f>'[1]Bieu 51'!E27</f>
        <v>109404.806157</v>
      </c>
      <c r="G28" s="227">
        <f>'[1]bieu 52'!D47</f>
        <v>109404.806157</v>
      </c>
      <c r="H28" s="227">
        <f>F28-G28</f>
        <v>0</v>
      </c>
      <c r="I28" s="62"/>
      <c r="J28" s="62">
        <v>9.2805597065809327</v>
      </c>
      <c r="K28" s="62"/>
      <c r="L28" s="172"/>
      <c r="M28" s="172"/>
      <c r="N28" s="172"/>
      <c r="O28" s="172"/>
      <c r="P28" s="172"/>
      <c r="Q28" s="172"/>
    </row>
    <row r="29" spans="1:17" s="104" customFormat="1" ht="16.5" customHeight="1" x14ac:dyDescent="0.25">
      <c r="A29" s="85" t="s">
        <v>383</v>
      </c>
      <c r="B29" s="86" t="s">
        <v>629</v>
      </c>
      <c r="C29" s="227"/>
      <c r="D29" s="227"/>
      <c r="E29" s="227">
        <f t="shared" ref="E29:E30" si="4">C29-D29</f>
        <v>0</v>
      </c>
      <c r="F29" s="239">
        <f>'[1]Bieu 51'!E28</f>
        <v>8583.1678499999998</v>
      </c>
      <c r="G29" s="240">
        <f>'[1]bieu 52'!D48</f>
        <v>8583.1678499999998</v>
      </c>
      <c r="H29" s="240">
        <f>F29-G29</f>
        <v>0</v>
      </c>
      <c r="I29" s="62">
        <v>0</v>
      </c>
      <c r="J29" s="62">
        <v>0</v>
      </c>
      <c r="K29" s="62">
        <v>0</v>
      </c>
      <c r="L29" s="172"/>
      <c r="M29" s="172"/>
      <c r="N29" s="172"/>
      <c r="O29" s="172"/>
      <c r="P29" s="172"/>
      <c r="Q29" s="172"/>
    </row>
    <row r="30" spans="1:17" s="104" customFormat="1" ht="22.5" customHeight="1" x14ac:dyDescent="0.25">
      <c r="A30" s="85" t="s">
        <v>384</v>
      </c>
      <c r="B30" s="86" t="s">
        <v>437</v>
      </c>
      <c r="C30" s="227"/>
      <c r="D30" s="227"/>
      <c r="E30" s="227">
        <f t="shared" si="4"/>
        <v>0</v>
      </c>
      <c r="F30" s="239">
        <f>'[1]Bieu 51'!E29</f>
        <v>23104</v>
      </c>
      <c r="G30" s="240">
        <f>'[1]bieu 52'!D49</f>
        <v>23104</v>
      </c>
      <c r="H30" s="240">
        <f>F30-G30</f>
        <v>0</v>
      </c>
      <c r="I30" s="62">
        <v>0</v>
      </c>
      <c r="J30" s="62">
        <v>0</v>
      </c>
      <c r="K30" s="62">
        <v>0</v>
      </c>
      <c r="L30" s="172"/>
      <c r="M30" s="172"/>
      <c r="N30" s="172"/>
      <c r="O30" s="172"/>
      <c r="P30" s="172"/>
      <c r="Q30" s="172"/>
    </row>
    <row r="31" spans="1:17" s="104" customFormat="1" ht="15.75" x14ac:dyDescent="0.25">
      <c r="A31" s="85" t="s">
        <v>242</v>
      </c>
      <c r="B31" s="86" t="s">
        <v>243</v>
      </c>
      <c r="C31" s="227">
        <f t="shared" ref="C31:C39" si="5">D31+E31</f>
        <v>77200</v>
      </c>
      <c r="D31" s="215">
        <v>77200</v>
      </c>
      <c r="E31" s="227">
        <v>0</v>
      </c>
      <c r="F31" s="239">
        <f>'[1]Bieu 51'!E30</f>
        <v>12206.46313</v>
      </c>
      <c r="G31" s="240">
        <v>12206.46313</v>
      </c>
      <c r="H31" s="240">
        <f>F31-G31</f>
        <v>0</v>
      </c>
      <c r="I31" s="62">
        <v>15.811480738341968</v>
      </c>
      <c r="J31" s="62">
        <v>15.811480738341968</v>
      </c>
      <c r="K31" s="62">
        <v>0</v>
      </c>
      <c r="L31" s="172"/>
      <c r="M31" s="172"/>
      <c r="N31" s="172"/>
      <c r="O31" s="172"/>
      <c r="P31" s="172"/>
      <c r="Q31" s="172"/>
    </row>
    <row r="32" spans="1:17" s="104" customFormat="1" ht="15.75" x14ac:dyDescent="0.25">
      <c r="A32" s="85" t="s">
        <v>8</v>
      </c>
      <c r="B32" s="86" t="s">
        <v>75</v>
      </c>
      <c r="C32" s="227">
        <f t="shared" si="5"/>
        <v>3148724</v>
      </c>
      <c r="D32" s="227">
        <f>D33+D37</f>
        <v>3147772</v>
      </c>
      <c r="E32" s="227">
        <f>E33+E37</f>
        <v>952</v>
      </c>
      <c r="F32" s="227">
        <f>F33+F37</f>
        <v>2259060.098245</v>
      </c>
      <c r="G32" s="227">
        <f>G33+G37</f>
        <v>1132629.5092000002</v>
      </c>
      <c r="H32" s="227">
        <f>F32-G32</f>
        <v>1126430.5890449998</v>
      </c>
      <c r="I32" s="62">
        <v>71.745256117875059</v>
      </c>
      <c r="J32" s="62">
        <v>35.981942440557965</v>
      </c>
      <c r="K32" s="62">
        <v>118322.5408660714</v>
      </c>
      <c r="L32" s="172"/>
      <c r="M32" s="172"/>
      <c r="N32" s="172"/>
      <c r="O32" s="172"/>
      <c r="P32" s="172"/>
      <c r="Q32" s="172"/>
    </row>
    <row r="33" spans="1:17" s="104" customFormat="1" ht="15.75" x14ac:dyDescent="0.25">
      <c r="A33" s="85" t="s">
        <v>39</v>
      </c>
      <c r="B33" s="86" t="s">
        <v>27</v>
      </c>
      <c r="C33" s="227">
        <f>D33+E33</f>
        <v>1243102</v>
      </c>
      <c r="D33" s="227">
        <f>D34+D35+D36</f>
        <v>1243102</v>
      </c>
      <c r="E33" s="227">
        <f>E34+E35+E36</f>
        <v>0</v>
      </c>
      <c r="F33" s="227">
        <f>F34+F35+F36</f>
        <v>1283926.966634</v>
      </c>
      <c r="G33" s="227">
        <f t="shared" ref="G33:H33" si="6">G34+G35+G36</f>
        <v>158511.57658899997</v>
      </c>
      <c r="H33" s="227">
        <f t="shared" si="6"/>
        <v>1125415.390045</v>
      </c>
      <c r="I33" s="62">
        <v>103.28412042085043</v>
      </c>
      <c r="J33" s="62">
        <v>12.751292861647714</v>
      </c>
      <c r="K33" s="62">
        <v>0</v>
      </c>
      <c r="L33" s="172"/>
      <c r="M33" s="172"/>
      <c r="N33" s="172"/>
      <c r="O33" s="172"/>
      <c r="P33" s="172"/>
      <c r="Q33" s="172"/>
    </row>
    <row r="34" spans="1:17" ht="15.75" x14ac:dyDescent="0.25">
      <c r="A34" s="125">
        <v>1</v>
      </c>
      <c r="B34" s="33" t="s">
        <v>203</v>
      </c>
      <c r="C34" s="227">
        <f t="shared" si="5"/>
        <v>138330</v>
      </c>
      <c r="D34" s="229">
        <v>138330</v>
      </c>
      <c r="E34" s="227"/>
      <c r="F34" s="229">
        <f>G34+H34</f>
        <v>242999.21761699999</v>
      </c>
      <c r="G34" s="229">
        <f>'[1]Bieu 61'!AK13</f>
        <v>9754.4888759999994</v>
      </c>
      <c r="H34" s="229">
        <f>'[1]Bieu 61'!AK43</f>
        <v>233244.728741</v>
      </c>
      <c r="I34" s="69">
        <v>175.66631794766138</v>
      </c>
      <c r="J34" s="69">
        <v>7.0516076599436124</v>
      </c>
      <c r="K34" s="69">
        <v>0</v>
      </c>
      <c r="L34" s="172"/>
      <c r="M34" s="172"/>
      <c r="N34" s="172"/>
      <c r="O34" s="172"/>
      <c r="P34" s="172"/>
      <c r="Q34" s="172"/>
    </row>
    <row r="35" spans="1:17" ht="15.75" x14ac:dyDescent="0.25">
      <c r="A35" s="125">
        <v>2</v>
      </c>
      <c r="B35" s="33" t="s">
        <v>204</v>
      </c>
      <c r="C35" s="227">
        <f t="shared" si="5"/>
        <v>283570</v>
      </c>
      <c r="D35" s="229">
        <v>283570</v>
      </c>
      <c r="E35" s="227"/>
      <c r="F35" s="229">
        <f>G35+H35</f>
        <v>330679.91708099999</v>
      </c>
      <c r="G35" s="229">
        <f>'[1]Bieu 61'!AD13</f>
        <v>32551.847166999996</v>
      </c>
      <c r="H35" s="229">
        <f>'[1]Bieu 61'!AD43</f>
        <v>298128.06991399999</v>
      </c>
      <c r="I35" s="69">
        <v>116.61315268928307</v>
      </c>
      <c r="J35" s="69">
        <v>11.479298644779066</v>
      </c>
      <c r="K35" s="69">
        <v>0</v>
      </c>
      <c r="L35" s="172"/>
      <c r="M35" s="172"/>
      <c r="N35" s="172"/>
      <c r="O35" s="172"/>
      <c r="P35" s="172"/>
      <c r="Q35" s="172"/>
    </row>
    <row r="36" spans="1:17" s="104" customFormat="1" ht="31.5" customHeight="1" x14ac:dyDescent="0.25">
      <c r="A36" s="125">
        <v>3</v>
      </c>
      <c r="B36" s="33" t="s">
        <v>637</v>
      </c>
      <c r="C36" s="227">
        <f t="shared" si="5"/>
        <v>821202</v>
      </c>
      <c r="D36" s="229">
        <v>821202</v>
      </c>
      <c r="E36" s="227"/>
      <c r="F36" s="229">
        <f>G36+H36</f>
        <v>710247.83193599992</v>
      </c>
      <c r="G36" s="229">
        <f>'[1]Bieu 61'!AR13</f>
        <v>116205.24054599997</v>
      </c>
      <c r="H36" s="229">
        <f>'[1]Bieu 61'!AR43</f>
        <v>594042.59138999996</v>
      </c>
      <c r="I36" s="69"/>
      <c r="J36" s="69"/>
      <c r="K36" s="69"/>
      <c r="L36" s="172"/>
      <c r="M36" s="172"/>
      <c r="N36" s="172"/>
      <c r="O36" s="172"/>
      <c r="P36" s="172"/>
      <c r="Q36" s="172"/>
    </row>
    <row r="37" spans="1:17" s="104" customFormat="1" ht="21.75" customHeight="1" x14ac:dyDescent="0.25">
      <c r="A37" s="85" t="s">
        <v>25</v>
      </c>
      <c r="B37" s="86" t="s">
        <v>205</v>
      </c>
      <c r="C37" s="227">
        <f t="shared" si="5"/>
        <v>1905622</v>
      </c>
      <c r="D37" s="227">
        <f>D38+D53</f>
        <v>1904670</v>
      </c>
      <c r="E37" s="227">
        <f>E38+E53</f>
        <v>952</v>
      </c>
      <c r="F37" s="227">
        <f>'[1]Bieu 51'!E36</f>
        <v>975133.13161100016</v>
      </c>
      <c r="G37" s="227">
        <f>G38+G53</f>
        <v>974117.93261100014</v>
      </c>
      <c r="H37" s="227">
        <f>H38+H53</f>
        <v>1015.199</v>
      </c>
      <c r="I37" s="62">
        <v>51.171382971596678</v>
      </c>
      <c r="J37" s="62">
        <v>51.14365914363119</v>
      </c>
      <c r="K37" s="62">
        <v>106.63855042016806</v>
      </c>
      <c r="L37" s="172"/>
      <c r="M37" s="172"/>
      <c r="N37" s="172"/>
      <c r="O37" s="172"/>
      <c r="P37" s="172"/>
      <c r="Q37" s="172"/>
    </row>
    <row r="38" spans="1:17" s="104" customFormat="1" ht="15.75" x14ac:dyDescent="0.25">
      <c r="A38" s="85" t="s">
        <v>206</v>
      </c>
      <c r="B38" s="86" t="s">
        <v>207</v>
      </c>
      <c r="C38" s="227">
        <f>D38+E38</f>
        <v>1825767</v>
      </c>
      <c r="D38" s="227">
        <f>D39+D42</f>
        <v>1825767</v>
      </c>
      <c r="E38" s="227">
        <f>E39+E48+E52</f>
        <v>0</v>
      </c>
      <c r="F38" s="227">
        <f>'[1]Bieu 51'!E37</f>
        <v>898937.91782800015</v>
      </c>
      <c r="G38" s="227">
        <f>G39+G42</f>
        <v>898937.91782800015</v>
      </c>
      <c r="H38" s="227">
        <f>H39+H48+H52</f>
        <v>0</v>
      </c>
      <c r="I38" s="62">
        <v>49.236179524988685</v>
      </c>
      <c r="J38" s="62">
        <v>49.236179524988685</v>
      </c>
      <c r="K38" s="62">
        <v>0</v>
      </c>
      <c r="L38" s="172"/>
      <c r="M38" s="172"/>
      <c r="N38" s="172"/>
      <c r="O38" s="172"/>
      <c r="P38" s="172"/>
      <c r="Q38" s="172"/>
    </row>
    <row r="39" spans="1:17" s="104" customFormat="1" ht="15.75" x14ac:dyDescent="0.25">
      <c r="A39" s="282">
        <v>1</v>
      </c>
      <c r="B39" s="283" t="s">
        <v>145</v>
      </c>
      <c r="C39" s="284">
        <f t="shared" si="5"/>
        <v>72367</v>
      </c>
      <c r="D39" s="284">
        <f>SUM(D40:D41)</f>
        <v>72367</v>
      </c>
      <c r="E39" s="284">
        <f>SUM(E40:E41)</f>
        <v>0</v>
      </c>
      <c r="F39" s="227">
        <f t="shared" ref="F39:F41" si="7">G39+H39</f>
        <v>51748.529523000005</v>
      </c>
      <c r="G39" s="227">
        <f>SUM(G40:G41)</f>
        <v>51748.529523000005</v>
      </c>
      <c r="H39" s="227">
        <f>SUM(H40:H41)</f>
        <v>0</v>
      </c>
      <c r="I39" s="285"/>
      <c r="J39" s="285">
        <v>71.508463143421736</v>
      </c>
      <c r="K39" s="285"/>
      <c r="L39" s="172"/>
      <c r="M39" s="172"/>
      <c r="N39" s="172"/>
      <c r="O39" s="172"/>
      <c r="P39" s="172"/>
      <c r="Q39" s="172"/>
    </row>
    <row r="40" spans="1:17" ht="31.5" x14ac:dyDescent="0.25">
      <c r="A40" s="224" t="s">
        <v>12</v>
      </c>
      <c r="B40" s="209" t="s">
        <v>441</v>
      </c>
      <c r="C40" s="286">
        <f>D40+E40</f>
        <v>3152</v>
      </c>
      <c r="D40" s="286">
        <v>3152</v>
      </c>
      <c r="E40" s="286">
        <v>0</v>
      </c>
      <c r="F40" s="227">
        <f t="shared" si="7"/>
        <v>0</v>
      </c>
      <c r="G40" s="229"/>
      <c r="H40" s="229"/>
      <c r="I40" s="287"/>
      <c r="J40" s="287"/>
      <c r="K40" s="287"/>
      <c r="L40" s="172"/>
      <c r="M40" s="172"/>
      <c r="N40" s="172"/>
      <c r="O40" s="172"/>
      <c r="P40" s="172"/>
      <c r="Q40" s="172"/>
    </row>
    <row r="41" spans="1:17" ht="31.5" x14ac:dyDescent="0.25">
      <c r="A41" s="224" t="s">
        <v>12</v>
      </c>
      <c r="B41" s="288" t="s">
        <v>443</v>
      </c>
      <c r="C41" s="286">
        <f>D41+E41</f>
        <v>69215</v>
      </c>
      <c r="D41" s="286">
        <v>69215</v>
      </c>
      <c r="E41" s="286">
        <v>0</v>
      </c>
      <c r="F41" s="229">
        <f t="shared" si="7"/>
        <v>51748.529523000005</v>
      </c>
      <c r="G41" s="229">
        <v>51748.529523000005</v>
      </c>
      <c r="H41" s="229"/>
      <c r="I41" s="287"/>
      <c r="J41" s="287"/>
      <c r="K41" s="287"/>
      <c r="L41" s="172"/>
      <c r="M41" s="172"/>
      <c r="N41" s="172"/>
      <c r="O41" s="172"/>
      <c r="P41" s="172"/>
      <c r="Q41" s="172"/>
    </row>
    <row r="42" spans="1:17" s="104" customFormat="1" ht="15.75" x14ac:dyDescent="0.25">
      <c r="A42" s="282">
        <v>2</v>
      </c>
      <c r="B42" s="283" t="s">
        <v>127</v>
      </c>
      <c r="C42" s="284">
        <f>D42+E42</f>
        <v>1753400</v>
      </c>
      <c r="D42" s="284">
        <f>D43+D52</f>
        <v>1753400</v>
      </c>
      <c r="E42" s="284">
        <f>E43+E52</f>
        <v>0</v>
      </c>
      <c r="F42" s="227">
        <f>G42+H42</f>
        <v>847189.38830500015</v>
      </c>
      <c r="G42" s="227">
        <f>G43+G52</f>
        <v>847189.38830500015</v>
      </c>
      <c r="H42" s="227">
        <f>H43+H52</f>
        <v>0</v>
      </c>
      <c r="I42" s="285"/>
      <c r="J42" s="285"/>
      <c r="K42" s="285"/>
      <c r="L42" s="172"/>
      <c r="M42" s="172"/>
      <c r="N42" s="172"/>
      <c r="O42" s="172"/>
      <c r="P42" s="172"/>
      <c r="Q42" s="172"/>
    </row>
    <row r="43" spans="1:17" ht="15.75" x14ac:dyDescent="0.25">
      <c r="A43" s="224" t="s">
        <v>638</v>
      </c>
      <c r="B43" s="225" t="s">
        <v>449</v>
      </c>
      <c r="C43" s="286">
        <f>D43+E43</f>
        <v>1408400</v>
      </c>
      <c r="D43" s="286">
        <f>SUM(D44:D51)</f>
        <v>1408400</v>
      </c>
      <c r="E43" s="286">
        <f>SUM(E44:E51)</f>
        <v>0</v>
      </c>
      <c r="F43" s="229">
        <f>G43+H43</f>
        <v>673431.10974100011</v>
      </c>
      <c r="G43" s="229">
        <f>SUM(G44:G51)</f>
        <v>673431.10974100011</v>
      </c>
      <c r="H43" s="229">
        <f>SUM(H44:H51)</f>
        <v>0</v>
      </c>
      <c r="I43" s="287"/>
      <c r="J43" s="287"/>
      <c r="K43" s="287"/>
      <c r="L43" s="172"/>
      <c r="M43" s="172"/>
      <c r="N43" s="172"/>
      <c r="O43" s="172"/>
      <c r="P43" s="172"/>
      <c r="Q43" s="172"/>
    </row>
    <row r="44" spans="1:17" ht="15.75" x14ac:dyDescent="0.25">
      <c r="A44" s="224" t="s">
        <v>12</v>
      </c>
      <c r="B44" s="209" t="s">
        <v>450</v>
      </c>
      <c r="C44" s="286">
        <f>D44+E44</f>
        <v>1014885.324</v>
      </c>
      <c r="D44" s="286">
        <v>1014885.324</v>
      </c>
      <c r="E44" s="286">
        <v>0</v>
      </c>
      <c r="F44" s="229">
        <f>G44+H44</f>
        <v>461767.05842999998</v>
      </c>
      <c r="G44" s="229">
        <f>464467.24643-G45</f>
        <v>461767.05842999998</v>
      </c>
      <c r="H44" s="229"/>
      <c r="I44" s="287"/>
      <c r="J44" s="287"/>
      <c r="K44" s="287"/>
      <c r="L44" s="172"/>
      <c r="M44" s="172"/>
      <c r="N44" s="172"/>
      <c r="O44" s="172"/>
      <c r="P44" s="172"/>
      <c r="Q44" s="172"/>
    </row>
    <row r="45" spans="1:17" ht="15.75" x14ac:dyDescent="0.25">
      <c r="A45" s="224" t="s">
        <v>12</v>
      </c>
      <c r="B45" s="225" t="s">
        <v>451</v>
      </c>
      <c r="C45" s="286">
        <f t="shared" ref="C45:C52" si="8">D45+E45</f>
        <v>43589.675999999999</v>
      </c>
      <c r="D45" s="286">
        <v>43589.675999999999</v>
      </c>
      <c r="E45" s="286">
        <v>0</v>
      </c>
      <c r="F45" s="229">
        <f t="shared" ref="F45:F52" si="9">G45+H45</f>
        <v>2700.1880000000001</v>
      </c>
      <c r="G45" s="229">
        <v>2700.1880000000001</v>
      </c>
      <c r="H45" s="229"/>
      <c r="I45" s="287"/>
      <c r="J45" s="287"/>
      <c r="K45" s="287"/>
      <c r="L45" s="172"/>
      <c r="M45" s="172"/>
      <c r="N45" s="172"/>
      <c r="O45" s="172"/>
      <c r="P45" s="172"/>
      <c r="Q45" s="172"/>
    </row>
    <row r="46" spans="1:17" ht="15.75" x14ac:dyDescent="0.25">
      <c r="A46" s="224" t="s">
        <v>12</v>
      </c>
      <c r="B46" s="225" t="s">
        <v>452</v>
      </c>
      <c r="C46" s="286">
        <f t="shared" si="8"/>
        <v>0</v>
      </c>
      <c r="D46" s="286">
        <v>0</v>
      </c>
      <c r="E46" s="286">
        <v>0</v>
      </c>
      <c r="F46" s="229">
        <f t="shared" si="9"/>
        <v>0</v>
      </c>
      <c r="G46" s="229"/>
      <c r="H46" s="229"/>
      <c r="I46" s="287"/>
      <c r="J46" s="287"/>
      <c r="K46" s="287"/>
      <c r="L46" s="172"/>
      <c r="M46" s="172"/>
      <c r="N46" s="172"/>
      <c r="O46" s="172"/>
      <c r="P46" s="172"/>
      <c r="Q46" s="172"/>
    </row>
    <row r="47" spans="1:17" s="104" customFormat="1" ht="31.5" x14ac:dyDescent="0.25">
      <c r="A47" s="224" t="s">
        <v>12</v>
      </c>
      <c r="B47" s="225" t="s">
        <v>453</v>
      </c>
      <c r="C47" s="286">
        <f t="shared" si="8"/>
        <v>335385</v>
      </c>
      <c r="D47" s="286">
        <v>335385</v>
      </c>
      <c r="E47" s="286">
        <v>0</v>
      </c>
      <c r="F47" s="229">
        <f t="shared" si="9"/>
        <v>147179.774015</v>
      </c>
      <c r="G47" s="229">
        <f>136981.140015+10198.634</f>
        <v>147179.774015</v>
      </c>
      <c r="H47" s="229"/>
      <c r="I47" s="287"/>
      <c r="J47" s="287"/>
      <c r="K47" s="287"/>
      <c r="L47" s="172"/>
      <c r="M47" s="172"/>
      <c r="N47" s="172"/>
      <c r="O47" s="172"/>
      <c r="P47" s="172"/>
      <c r="Q47" s="172"/>
    </row>
    <row r="48" spans="1:17" ht="15.75" x14ac:dyDescent="0.25">
      <c r="A48" s="224" t="s">
        <v>12</v>
      </c>
      <c r="B48" s="225" t="s">
        <v>645</v>
      </c>
      <c r="C48" s="286">
        <f t="shared" si="8"/>
        <v>14540</v>
      </c>
      <c r="D48" s="286">
        <v>14540</v>
      </c>
      <c r="E48" s="286">
        <v>0</v>
      </c>
      <c r="F48" s="229">
        <f t="shared" si="9"/>
        <v>13524.037</v>
      </c>
      <c r="G48" s="229">
        <v>13524.037</v>
      </c>
      <c r="H48" s="229"/>
      <c r="I48" s="287"/>
      <c r="J48" s="287"/>
      <c r="K48" s="287"/>
      <c r="L48" s="172"/>
      <c r="M48" s="172"/>
      <c r="N48" s="172"/>
      <c r="O48" s="172"/>
      <c r="P48" s="172"/>
      <c r="Q48" s="172"/>
    </row>
    <row r="49" spans="1:17" ht="15.75" x14ac:dyDescent="0.25">
      <c r="A49" s="224" t="s">
        <v>12</v>
      </c>
      <c r="B49" s="209" t="s">
        <v>455</v>
      </c>
      <c r="C49" s="286">
        <f t="shared" si="8"/>
        <v>0</v>
      </c>
      <c r="D49" s="286"/>
      <c r="E49" s="286">
        <v>0</v>
      </c>
      <c r="F49" s="229">
        <f t="shared" si="9"/>
        <v>0</v>
      </c>
      <c r="G49" s="229"/>
      <c r="H49" s="229"/>
      <c r="I49" s="287"/>
      <c r="J49" s="287"/>
      <c r="K49" s="287"/>
      <c r="L49" s="172"/>
      <c r="M49" s="172"/>
      <c r="N49" s="172"/>
      <c r="O49" s="172"/>
      <c r="P49" s="172"/>
      <c r="Q49" s="172"/>
    </row>
    <row r="50" spans="1:17" ht="15.75" x14ac:dyDescent="0.25">
      <c r="A50" s="224" t="s">
        <v>12</v>
      </c>
      <c r="B50" s="209" t="s">
        <v>456</v>
      </c>
      <c r="C50" s="286">
        <f t="shared" si="8"/>
        <v>0</v>
      </c>
      <c r="D50" s="286">
        <v>0</v>
      </c>
      <c r="E50" s="286">
        <v>0</v>
      </c>
      <c r="F50" s="229">
        <f t="shared" si="9"/>
        <v>18957.069</v>
      </c>
      <c r="G50" s="229">
        <v>18957.069</v>
      </c>
      <c r="H50" s="229"/>
      <c r="I50" s="287"/>
      <c r="J50" s="287"/>
      <c r="K50" s="287"/>
      <c r="L50" s="172"/>
      <c r="M50" s="172"/>
      <c r="N50" s="172"/>
      <c r="O50" s="172"/>
      <c r="P50" s="172"/>
      <c r="Q50" s="172"/>
    </row>
    <row r="51" spans="1:17" s="104" customFormat="1" ht="15.75" x14ac:dyDescent="0.25">
      <c r="A51" s="224" t="s">
        <v>12</v>
      </c>
      <c r="B51" s="209" t="s">
        <v>650</v>
      </c>
      <c r="C51" s="286">
        <f t="shared" si="8"/>
        <v>0</v>
      </c>
      <c r="D51" s="286"/>
      <c r="E51" s="286">
        <v>0</v>
      </c>
      <c r="F51" s="229">
        <f t="shared" si="9"/>
        <v>29302.983295999999</v>
      </c>
      <c r="G51" s="229">
        <v>29302.983295999999</v>
      </c>
      <c r="H51" s="229"/>
      <c r="I51" s="287"/>
      <c r="J51" s="287"/>
      <c r="K51" s="287"/>
      <c r="L51" s="172"/>
      <c r="M51" s="172"/>
      <c r="N51" s="172"/>
      <c r="O51" s="172"/>
      <c r="P51" s="172"/>
      <c r="Q51" s="172"/>
    </row>
    <row r="52" spans="1:17" s="104" customFormat="1" ht="26.25" customHeight="1" x14ac:dyDescent="0.25">
      <c r="A52" s="224" t="s">
        <v>139</v>
      </c>
      <c r="B52" s="209" t="s">
        <v>639</v>
      </c>
      <c r="C52" s="286">
        <f t="shared" si="8"/>
        <v>345000</v>
      </c>
      <c r="D52" s="286">
        <v>345000</v>
      </c>
      <c r="E52" s="286">
        <v>0</v>
      </c>
      <c r="F52" s="229">
        <f t="shared" si="9"/>
        <v>173758.27856400001</v>
      </c>
      <c r="G52" s="229">
        <v>173758.27856400001</v>
      </c>
      <c r="H52" s="229"/>
      <c r="I52" s="287"/>
      <c r="J52" s="287"/>
      <c r="K52" s="287"/>
      <c r="L52" s="172"/>
      <c r="M52" s="172"/>
      <c r="N52" s="172"/>
      <c r="O52" s="172"/>
      <c r="P52" s="172"/>
      <c r="Q52" s="172"/>
    </row>
    <row r="53" spans="1:17" ht="15.75" x14ac:dyDescent="0.25">
      <c r="A53" s="85" t="s">
        <v>208</v>
      </c>
      <c r="B53" s="86" t="s">
        <v>209</v>
      </c>
      <c r="C53" s="227">
        <f>'[1]Bieu 51'!D52</f>
        <v>79855</v>
      </c>
      <c r="D53" s="227">
        <f>D54+D56</f>
        <v>78903</v>
      </c>
      <c r="E53" s="227">
        <f>E54+E56</f>
        <v>952</v>
      </c>
      <c r="F53" s="227">
        <f>F56+F54</f>
        <v>76195.213782999999</v>
      </c>
      <c r="G53" s="227">
        <f>G56+G54</f>
        <v>75180.014782999991</v>
      </c>
      <c r="H53" s="227">
        <f>H56+H54</f>
        <v>1015.199</v>
      </c>
      <c r="I53" s="62">
        <v>95.41696046960115</v>
      </c>
      <c r="J53" s="62">
        <v>95.281566965768079</v>
      </c>
      <c r="K53" s="62">
        <v>106.63855042016806</v>
      </c>
      <c r="L53" s="172"/>
      <c r="M53" s="172"/>
      <c r="N53" s="172"/>
      <c r="O53" s="172"/>
      <c r="P53" s="172"/>
      <c r="Q53" s="172"/>
    </row>
    <row r="54" spans="1:17" ht="15.75" x14ac:dyDescent="0.25">
      <c r="A54" s="85">
        <v>1</v>
      </c>
      <c r="B54" s="86" t="s">
        <v>128</v>
      </c>
      <c r="C54" s="227">
        <f>'[1]Bieu 51'!D53</f>
        <v>0</v>
      </c>
      <c r="D54" s="227">
        <f>D55</f>
        <v>0</v>
      </c>
      <c r="E54" s="227">
        <f t="shared" ref="E54" si="10">C54-D54</f>
        <v>0</v>
      </c>
      <c r="F54" s="227">
        <f>F55</f>
        <v>0</v>
      </c>
      <c r="G54" s="227">
        <f t="shared" ref="G54:H54" si="11">G55</f>
        <v>0</v>
      </c>
      <c r="H54" s="227">
        <f t="shared" si="11"/>
        <v>0</v>
      </c>
      <c r="I54" s="62">
        <v>0</v>
      </c>
      <c r="J54" s="62">
        <v>0</v>
      </c>
      <c r="K54" s="62">
        <v>0</v>
      </c>
      <c r="L54" s="172"/>
      <c r="M54" s="172"/>
      <c r="N54" s="172"/>
      <c r="O54" s="172"/>
      <c r="P54" s="172"/>
      <c r="Q54" s="172"/>
    </row>
    <row r="55" spans="1:17" ht="15.75" x14ac:dyDescent="0.25">
      <c r="A55" s="125" t="s">
        <v>244</v>
      </c>
      <c r="B55" s="33" t="s">
        <v>467</v>
      </c>
      <c r="C55" s="229">
        <f>D55+E55</f>
        <v>0</v>
      </c>
      <c r="D55" s="229"/>
      <c r="E55" s="229">
        <v>0</v>
      </c>
      <c r="F55" s="229">
        <f t="shared" ref="F55:F64" si="12">G55+H55</f>
        <v>0</v>
      </c>
      <c r="G55" s="229"/>
      <c r="H55" s="229"/>
      <c r="I55" s="69">
        <v>0</v>
      </c>
      <c r="J55" s="69">
        <v>0</v>
      </c>
      <c r="K55" s="69">
        <v>0</v>
      </c>
      <c r="L55" s="172"/>
      <c r="M55" s="172"/>
      <c r="N55" s="172"/>
      <c r="O55" s="172"/>
      <c r="P55" s="172"/>
      <c r="Q55" s="172"/>
    </row>
    <row r="56" spans="1:17" ht="15.75" x14ac:dyDescent="0.25">
      <c r="A56" s="85">
        <v>2</v>
      </c>
      <c r="B56" s="86" t="s">
        <v>127</v>
      </c>
      <c r="C56" s="227">
        <f>D56+E56</f>
        <v>79855</v>
      </c>
      <c r="D56" s="227">
        <f>SUM(D57:D64)</f>
        <v>78903</v>
      </c>
      <c r="E56" s="227">
        <f t="shared" ref="E56:H56" si="13">SUM(E57:E64)</f>
        <v>952</v>
      </c>
      <c r="F56" s="227">
        <f t="shared" si="13"/>
        <v>76195.213782999999</v>
      </c>
      <c r="G56" s="227">
        <f t="shared" si="13"/>
        <v>75180.014782999991</v>
      </c>
      <c r="H56" s="227">
        <f t="shared" si="13"/>
        <v>1015.199</v>
      </c>
      <c r="I56" s="62">
        <v>95.41696046960115</v>
      </c>
      <c r="J56" s="62">
        <v>95.281566965768079</v>
      </c>
      <c r="K56" s="62">
        <v>106.63855042016806</v>
      </c>
      <c r="L56" s="172"/>
      <c r="M56" s="172"/>
      <c r="N56" s="172"/>
      <c r="O56" s="172"/>
      <c r="P56" s="172"/>
      <c r="Q56" s="172"/>
    </row>
    <row r="57" spans="1:17" ht="31.5" x14ac:dyDescent="0.25">
      <c r="A57" s="125" t="s">
        <v>138</v>
      </c>
      <c r="B57" s="33" t="s">
        <v>553</v>
      </c>
      <c r="C57" s="229">
        <f>D57+E57</f>
        <v>2644</v>
      </c>
      <c r="D57" s="229">
        <v>1760</v>
      </c>
      <c r="E57" s="229">
        <v>884</v>
      </c>
      <c r="F57" s="229">
        <f t="shared" si="12"/>
        <v>2589.2690000000002</v>
      </c>
      <c r="G57" s="229">
        <v>1710.0700000000002</v>
      </c>
      <c r="H57" s="229">
        <v>879.19899999999996</v>
      </c>
      <c r="I57" s="69">
        <v>97.929992435703483</v>
      </c>
      <c r="J57" s="69">
        <v>97.16306818181819</v>
      </c>
      <c r="K57" s="69">
        <v>99.456900452488682</v>
      </c>
      <c r="L57" s="172"/>
      <c r="M57" s="172"/>
      <c r="N57" s="172"/>
      <c r="O57" s="172"/>
      <c r="P57" s="172"/>
      <c r="Q57" s="172"/>
    </row>
    <row r="58" spans="1:17" ht="15.75" x14ac:dyDescent="0.25">
      <c r="A58" s="125" t="s">
        <v>139</v>
      </c>
      <c r="B58" s="33" t="s">
        <v>655</v>
      </c>
      <c r="C58" s="229">
        <f t="shared" ref="C58:C61" si="14">D58+E58</f>
        <v>48847</v>
      </c>
      <c r="D58" s="229">
        <v>48847</v>
      </c>
      <c r="E58" s="229">
        <v>0</v>
      </c>
      <c r="F58" s="229">
        <f t="shared" si="12"/>
        <v>48847</v>
      </c>
      <c r="G58" s="229">
        <v>48847</v>
      </c>
      <c r="H58" s="229"/>
      <c r="I58" s="69">
        <v>100</v>
      </c>
      <c r="J58" s="69">
        <v>100</v>
      </c>
      <c r="K58" s="69">
        <v>0</v>
      </c>
      <c r="L58" s="172"/>
      <c r="M58" s="172"/>
      <c r="N58" s="172"/>
      <c r="O58" s="172"/>
      <c r="P58" s="172"/>
      <c r="Q58" s="172"/>
    </row>
    <row r="59" spans="1:17" ht="15.75" x14ac:dyDescent="0.25">
      <c r="A59" s="125" t="s">
        <v>140</v>
      </c>
      <c r="B59" s="33" t="s">
        <v>640</v>
      </c>
      <c r="C59" s="229">
        <f t="shared" si="14"/>
        <v>2000</v>
      </c>
      <c r="D59" s="229">
        <v>2000</v>
      </c>
      <c r="E59" s="229">
        <v>0</v>
      </c>
      <c r="F59" s="229">
        <f t="shared" si="12"/>
        <v>129.91000000000003</v>
      </c>
      <c r="G59" s="229">
        <v>129.91000000000003</v>
      </c>
      <c r="H59" s="229"/>
      <c r="I59" s="69">
        <v>6.4955000000000016</v>
      </c>
      <c r="J59" s="69">
        <v>6.4955000000000016</v>
      </c>
      <c r="K59" s="69">
        <v>0</v>
      </c>
      <c r="L59" s="172"/>
      <c r="M59" s="172"/>
      <c r="N59" s="172"/>
      <c r="O59" s="172"/>
      <c r="P59" s="172"/>
      <c r="Q59" s="172"/>
    </row>
    <row r="60" spans="1:17" ht="31.5" x14ac:dyDescent="0.25">
      <c r="A60" s="125" t="s">
        <v>552</v>
      </c>
      <c r="B60" s="33" t="s">
        <v>654</v>
      </c>
      <c r="C60" s="229">
        <f t="shared" si="14"/>
        <v>230</v>
      </c>
      <c r="D60" s="229">
        <v>230</v>
      </c>
      <c r="E60" s="229"/>
      <c r="F60" s="229">
        <f t="shared" si="12"/>
        <v>228.5</v>
      </c>
      <c r="G60" s="229">
        <v>228.5</v>
      </c>
      <c r="H60" s="229"/>
      <c r="I60" s="69">
        <v>99.34782608695653</v>
      </c>
      <c r="J60" s="69">
        <v>99.34782608695653</v>
      </c>
      <c r="K60" s="69">
        <v>0</v>
      </c>
      <c r="L60" s="172"/>
      <c r="M60" s="172"/>
      <c r="N60" s="172"/>
      <c r="O60" s="172"/>
      <c r="P60" s="172"/>
      <c r="Q60" s="172"/>
    </row>
    <row r="61" spans="1:17" ht="31.5" x14ac:dyDescent="0.25">
      <c r="A61" s="125" t="s">
        <v>554</v>
      </c>
      <c r="B61" s="33" t="s">
        <v>641</v>
      </c>
      <c r="C61" s="229">
        <f t="shared" si="14"/>
        <v>25341</v>
      </c>
      <c r="D61" s="229">
        <v>25273</v>
      </c>
      <c r="E61" s="229">
        <v>68</v>
      </c>
      <c r="F61" s="229">
        <f t="shared" si="12"/>
        <v>23276.854783000002</v>
      </c>
      <c r="G61" s="229">
        <v>23140.854783000002</v>
      </c>
      <c r="H61" s="229">
        <v>136</v>
      </c>
      <c r="I61" s="69">
        <v>91.854523432382322</v>
      </c>
      <c r="J61" s="69">
        <v>91.563545218217087</v>
      </c>
      <c r="K61" s="69">
        <v>200</v>
      </c>
    </row>
    <row r="62" spans="1:17" ht="15.75" x14ac:dyDescent="0.25">
      <c r="A62" s="125" t="s">
        <v>642</v>
      </c>
      <c r="B62" s="33" t="s">
        <v>651</v>
      </c>
      <c r="C62" s="229"/>
      <c r="D62" s="229">
        <v>433</v>
      </c>
      <c r="E62" s="229"/>
      <c r="F62" s="229">
        <f t="shared" si="12"/>
        <v>866</v>
      </c>
      <c r="G62" s="229">
        <v>866</v>
      </c>
      <c r="H62" s="229"/>
      <c r="I62" s="69">
        <v>0</v>
      </c>
      <c r="J62" s="69">
        <v>200</v>
      </c>
      <c r="K62" s="69">
        <v>0</v>
      </c>
    </row>
    <row r="63" spans="1:17" ht="15.75" x14ac:dyDescent="0.25">
      <c r="A63" s="125" t="s">
        <v>643</v>
      </c>
      <c r="B63" s="33" t="s">
        <v>652</v>
      </c>
      <c r="C63" s="229"/>
      <c r="D63" s="229">
        <v>160</v>
      </c>
      <c r="E63" s="229"/>
      <c r="F63" s="229">
        <f t="shared" si="12"/>
        <v>160</v>
      </c>
      <c r="G63" s="229">
        <v>160</v>
      </c>
      <c r="H63" s="229"/>
      <c r="I63" s="69">
        <v>0</v>
      </c>
      <c r="J63" s="69">
        <v>100</v>
      </c>
      <c r="K63" s="69">
        <v>0</v>
      </c>
    </row>
    <row r="64" spans="1:17" ht="47.25" x14ac:dyDescent="0.25">
      <c r="A64" s="125" t="s">
        <v>644</v>
      </c>
      <c r="B64" s="33" t="s">
        <v>653</v>
      </c>
      <c r="C64" s="229"/>
      <c r="D64" s="229">
        <v>200</v>
      </c>
      <c r="E64" s="229"/>
      <c r="F64" s="229">
        <f t="shared" si="12"/>
        <v>97.68</v>
      </c>
      <c r="G64" s="229">
        <v>97.68</v>
      </c>
      <c r="H64" s="229"/>
      <c r="I64" s="69">
        <v>0</v>
      </c>
      <c r="J64" s="69">
        <v>48.84</v>
      </c>
      <c r="K64" s="69">
        <v>0</v>
      </c>
    </row>
    <row r="65" spans="1:11" ht="21" customHeight="1" x14ac:dyDescent="0.25">
      <c r="A65" s="85" t="s">
        <v>31</v>
      </c>
      <c r="B65" s="86" t="s">
        <v>76</v>
      </c>
      <c r="C65" s="227">
        <f>'[1]Bieu 51'!D64</f>
        <v>0</v>
      </c>
      <c r="D65" s="227"/>
      <c r="E65" s="227"/>
      <c r="F65" s="227">
        <f>'[1]Bieu 51'!E64</f>
        <v>4429726.1766579999</v>
      </c>
      <c r="G65" s="227">
        <f>'[1]bieu 52'!D50</f>
        <v>2859544.5055379998</v>
      </c>
      <c r="H65" s="227">
        <v>1570181.6711200001</v>
      </c>
      <c r="I65" s="62">
        <v>0</v>
      </c>
      <c r="J65" s="62">
        <v>0</v>
      </c>
      <c r="K65" s="62">
        <v>0</v>
      </c>
    </row>
    <row r="66" spans="1:11" ht="15.75" x14ac:dyDescent="0.25">
      <c r="A66" s="91" t="s">
        <v>32</v>
      </c>
      <c r="B66" s="92" t="s">
        <v>249</v>
      </c>
      <c r="C66" s="241">
        <f>'[1]Bieu 51'!D65</f>
        <v>0</v>
      </c>
      <c r="D66" s="241"/>
      <c r="E66" s="241"/>
      <c r="F66" s="241">
        <f>'[1]Bieu 51'!E65</f>
        <v>198741.61247100003</v>
      </c>
      <c r="G66" s="241">
        <f>'[1]bieu 52'!D51</f>
        <v>122849.305433</v>
      </c>
      <c r="H66" s="241">
        <v>75892.407038000005</v>
      </c>
      <c r="I66" s="201">
        <v>0</v>
      </c>
      <c r="J66" s="201">
        <v>0</v>
      </c>
      <c r="K66" s="201">
        <v>0</v>
      </c>
    </row>
  </sheetData>
  <mergeCells count="10">
    <mergeCell ref="A2:K2"/>
    <mergeCell ref="A3:K3"/>
    <mergeCell ref="J4:K4"/>
    <mergeCell ref="A5:A6"/>
    <mergeCell ref="D5:E5"/>
    <mergeCell ref="F5:F6"/>
    <mergeCell ref="G5:H5"/>
    <mergeCell ref="I5:K5"/>
    <mergeCell ref="B5:B6"/>
    <mergeCell ref="C5:C6"/>
  </mergeCells>
  <dataValidations count="2">
    <dataValidation allowBlank="1" showInputMessage="1" showErrorMessage="1" prompt="Chưa bao gồm chi chuyển giao ngân sách _x000a_" sqref="WVO982990 JC8 SY8 ACU8 AMQ8 AWM8 BGI8 BQE8 CAA8 CJW8 CTS8 DDO8 DNK8 DXG8 EHC8 EQY8 FAU8 FKQ8 FUM8 GEI8 GOE8 GYA8 HHW8 HRS8 IBO8 ILK8 IVG8 JFC8 JOY8 JYU8 KIQ8 KSM8 LCI8 LME8 LWA8 MFW8 MPS8 MZO8 NJK8 NTG8 ODC8 OMY8 OWU8 PGQ8 PQM8 QAI8 QKE8 QUA8 RDW8 RNS8 RXO8 SHK8 SRG8 TBC8 TKY8 TUU8 UEQ8 UOM8 UYI8 VIE8 VSA8 WBW8 WLS8 WVO8 G65486 JC65486 SY65486 ACU65486 AMQ65486 AWM65486 BGI65486 BQE65486 CAA65486 CJW65486 CTS65486 DDO65486 DNK65486 DXG65486 EHC65486 EQY65486 FAU65486 FKQ65486 FUM65486 GEI65486 GOE65486 GYA65486 HHW65486 HRS65486 IBO65486 ILK65486 IVG65486 JFC65486 JOY65486 JYU65486 KIQ65486 KSM65486 LCI65486 LME65486 LWA65486 MFW65486 MPS65486 MZO65486 NJK65486 NTG65486 ODC65486 OMY65486 OWU65486 PGQ65486 PQM65486 QAI65486 QKE65486 QUA65486 RDW65486 RNS65486 RXO65486 SHK65486 SRG65486 TBC65486 TKY65486 TUU65486 UEQ65486 UOM65486 UYI65486 VIE65486 VSA65486 WBW65486 WLS65486 WVO65486 G131022 JC131022 SY131022 ACU131022 AMQ131022 AWM131022 BGI131022 BQE131022 CAA131022 CJW131022 CTS131022 DDO131022 DNK131022 DXG131022 EHC131022 EQY131022 FAU131022 FKQ131022 FUM131022 GEI131022 GOE131022 GYA131022 HHW131022 HRS131022 IBO131022 ILK131022 IVG131022 JFC131022 JOY131022 JYU131022 KIQ131022 KSM131022 LCI131022 LME131022 LWA131022 MFW131022 MPS131022 MZO131022 NJK131022 NTG131022 ODC131022 OMY131022 OWU131022 PGQ131022 PQM131022 QAI131022 QKE131022 QUA131022 RDW131022 RNS131022 RXO131022 SHK131022 SRG131022 TBC131022 TKY131022 TUU131022 UEQ131022 UOM131022 UYI131022 VIE131022 VSA131022 WBW131022 WLS131022 WVO131022 G196558 JC196558 SY196558 ACU196558 AMQ196558 AWM196558 BGI196558 BQE196558 CAA196558 CJW196558 CTS196558 DDO196558 DNK196558 DXG196558 EHC196558 EQY196558 FAU196558 FKQ196558 FUM196558 GEI196558 GOE196558 GYA196558 HHW196558 HRS196558 IBO196558 ILK196558 IVG196558 JFC196558 JOY196558 JYU196558 KIQ196558 KSM196558 LCI196558 LME196558 LWA196558 MFW196558 MPS196558 MZO196558 NJK196558 NTG196558 ODC196558 OMY196558 OWU196558 PGQ196558 PQM196558 QAI196558 QKE196558 QUA196558 RDW196558 RNS196558 RXO196558 SHK196558 SRG196558 TBC196558 TKY196558 TUU196558 UEQ196558 UOM196558 UYI196558 VIE196558 VSA196558 WBW196558 WLS196558 WVO196558 G262094 JC262094 SY262094 ACU262094 AMQ262094 AWM262094 BGI262094 BQE262094 CAA262094 CJW262094 CTS262094 DDO262094 DNK262094 DXG262094 EHC262094 EQY262094 FAU262094 FKQ262094 FUM262094 GEI262094 GOE262094 GYA262094 HHW262094 HRS262094 IBO262094 ILK262094 IVG262094 JFC262094 JOY262094 JYU262094 KIQ262094 KSM262094 LCI262094 LME262094 LWA262094 MFW262094 MPS262094 MZO262094 NJK262094 NTG262094 ODC262094 OMY262094 OWU262094 PGQ262094 PQM262094 QAI262094 QKE262094 QUA262094 RDW262094 RNS262094 RXO262094 SHK262094 SRG262094 TBC262094 TKY262094 TUU262094 UEQ262094 UOM262094 UYI262094 VIE262094 VSA262094 WBW262094 WLS262094 WVO262094 G327630 JC327630 SY327630 ACU327630 AMQ327630 AWM327630 BGI327630 BQE327630 CAA327630 CJW327630 CTS327630 DDO327630 DNK327630 DXG327630 EHC327630 EQY327630 FAU327630 FKQ327630 FUM327630 GEI327630 GOE327630 GYA327630 HHW327630 HRS327630 IBO327630 ILK327630 IVG327630 JFC327630 JOY327630 JYU327630 KIQ327630 KSM327630 LCI327630 LME327630 LWA327630 MFW327630 MPS327630 MZO327630 NJK327630 NTG327630 ODC327630 OMY327630 OWU327630 PGQ327630 PQM327630 QAI327630 QKE327630 QUA327630 RDW327630 RNS327630 RXO327630 SHK327630 SRG327630 TBC327630 TKY327630 TUU327630 UEQ327630 UOM327630 UYI327630 VIE327630 VSA327630 WBW327630 WLS327630 WVO327630 G393166 JC393166 SY393166 ACU393166 AMQ393166 AWM393166 BGI393166 BQE393166 CAA393166 CJW393166 CTS393166 DDO393166 DNK393166 DXG393166 EHC393166 EQY393166 FAU393166 FKQ393166 FUM393166 GEI393166 GOE393166 GYA393166 HHW393166 HRS393166 IBO393166 ILK393166 IVG393166 JFC393166 JOY393166 JYU393166 KIQ393166 KSM393166 LCI393166 LME393166 LWA393166 MFW393166 MPS393166 MZO393166 NJK393166 NTG393166 ODC393166 OMY393166 OWU393166 PGQ393166 PQM393166 QAI393166 QKE393166 QUA393166 RDW393166 RNS393166 RXO393166 SHK393166 SRG393166 TBC393166 TKY393166 TUU393166 UEQ393166 UOM393166 UYI393166 VIE393166 VSA393166 WBW393166 WLS393166 WVO393166 G458702 JC458702 SY458702 ACU458702 AMQ458702 AWM458702 BGI458702 BQE458702 CAA458702 CJW458702 CTS458702 DDO458702 DNK458702 DXG458702 EHC458702 EQY458702 FAU458702 FKQ458702 FUM458702 GEI458702 GOE458702 GYA458702 HHW458702 HRS458702 IBO458702 ILK458702 IVG458702 JFC458702 JOY458702 JYU458702 KIQ458702 KSM458702 LCI458702 LME458702 LWA458702 MFW458702 MPS458702 MZO458702 NJK458702 NTG458702 ODC458702 OMY458702 OWU458702 PGQ458702 PQM458702 QAI458702 QKE458702 QUA458702 RDW458702 RNS458702 RXO458702 SHK458702 SRG458702 TBC458702 TKY458702 TUU458702 UEQ458702 UOM458702 UYI458702 VIE458702 VSA458702 WBW458702 WLS458702 WVO458702 G524238 JC524238 SY524238 ACU524238 AMQ524238 AWM524238 BGI524238 BQE524238 CAA524238 CJW524238 CTS524238 DDO524238 DNK524238 DXG524238 EHC524238 EQY524238 FAU524238 FKQ524238 FUM524238 GEI524238 GOE524238 GYA524238 HHW524238 HRS524238 IBO524238 ILK524238 IVG524238 JFC524238 JOY524238 JYU524238 KIQ524238 KSM524238 LCI524238 LME524238 LWA524238 MFW524238 MPS524238 MZO524238 NJK524238 NTG524238 ODC524238 OMY524238 OWU524238 PGQ524238 PQM524238 QAI524238 QKE524238 QUA524238 RDW524238 RNS524238 RXO524238 SHK524238 SRG524238 TBC524238 TKY524238 TUU524238 UEQ524238 UOM524238 UYI524238 VIE524238 VSA524238 WBW524238 WLS524238 WVO524238 G589774 JC589774 SY589774 ACU589774 AMQ589774 AWM589774 BGI589774 BQE589774 CAA589774 CJW589774 CTS589774 DDO589774 DNK589774 DXG589774 EHC589774 EQY589774 FAU589774 FKQ589774 FUM589774 GEI589774 GOE589774 GYA589774 HHW589774 HRS589774 IBO589774 ILK589774 IVG589774 JFC589774 JOY589774 JYU589774 KIQ589774 KSM589774 LCI589774 LME589774 LWA589774 MFW589774 MPS589774 MZO589774 NJK589774 NTG589774 ODC589774 OMY589774 OWU589774 PGQ589774 PQM589774 QAI589774 QKE589774 QUA589774 RDW589774 RNS589774 RXO589774 SHK589774 SRG589774 TBC589774 TKY589774 TUU589774 UEQ589774 UOM589774 UYI589774 VIE589774 VSA589774 WBW589774 WLS589774 WVO589774 G655310 JC655310 SY655310 ACU655310 AMQ655310 AWM655310 BGI655310 BQE655310 CAA655310 CJW655310 CTS655310 DDO655310 DNK655310 DXG655310 EHC655310 EQY655310 FAU655310 FKQ655310 FUM655310 GEI655310 GOE655310 GYA655310 HHW655310 HRS655310 IBO655310 ILK655310 IVG655310 JFC655310 JOY655310 JYU655310 KIQ655310 KSM655310 LCI655310 LME655310 LWA655310 MFW655310 MPS655310 MZO655310 NJK655310 NTG655310 ODC655310 OMY655310 OWU655310 PGQ655310 PQM655310 QAI655310 QKE655310 QUA655310 RDW655310 RNS655310 RXO655310 SHK655310 SRG655310 TBC655310 TKY655310 TUU655310 UEQ655310 UOM655310 UYI655310 VIE655310 VSA655310 WBW655310 WLS655310 WVO655310 G720846 JC720846 SY720846 ACU720846 AMQ720846 AWM720846 BGI720846 BQE720846 CAA720846 CJW720846 CTS720846 DDO720846 DNK720846 DXG720846 EHC720846 EQY720846 FAU720846 FKQ720846 FUM720846 GEI720846 GOE720846 GYA720846 HHW720846 HRS720846 IBO720846 ILK720846 IVG720846 JFC720846 JOY720846 JYU720846 KIQ720846 KSM720846 LCI720846 LME720846 LWA720846 MFW720846 MPS720846 MZO720846 NJK720846 NTG720846 ODC720846 OMY720846 OWU720846 PGQ720846 PQM720846 QAI720846 QKE720846 QUA720846 RDW720846 RNS720846 RXO720846 SHK720846 SRG720846 TBC720846 TKY720846 TUU720846 UEQ720846 UOM720846 UYI720846 VIE720846 VSA720846 WBW720846 WLS720846 WVO720846 G786382 JC786382 SY786382 ACU786382 AMQ786382 AWM786382 BGI786382 BQE786382 CAA786382 CJW786382 CTS786382 DDO786382 DNK786382 DXG786382 EHC786382 EQY786382 FAU786382 FKQ786382 FUM786382 GEI786382 GOE786382 GYA786382 HHW786382 HRS786382 IBO786382 ILK786382 IVG786382 JFC786382 JOY786382 JYU786382 KIQ786382 KSM786382 LCI786382 LME786382 LWA786382 MFW786382 MPS786382 MZO786382 NJK786382 NTG786382 ODC786382 OMY786382 OWU786382 PGQ786382 PQM786382 QAI786382 QKE786382 QUA786382 RDW786382 RNS786382 RXO786382 SHK786382 SRG786382 TBC786382 TKY786382 TUU786382 UEQ786382 UOM786382 UYI786382 VIE786382 VSA786382 WBW786382 WLS786382 WVO786382 G851918 JC851918 SY851918 ACU851918 AMQ851918 AWM851918 BGI851918 BQE851918 CAA851918 CJW851918 CTS851918 DDO851918 DNK851918 DXG851918 EHC851918 EQY851918 FAU851918 FKQ851918 FUM851918 GEI851918 GOE851918 GYA851918 HHW851918 HRS851918 IBO851918 ILK851918 IVG851918 JFC851918 JOY851918 JYU851918 KIQ851918 KSM851918 LCI851918 LME851918 LWA851918 MFW851918 MPS851918 MZO851918 NJK851918 NTG851918 ODC851918 OMY851918 OWU851918 PGQ851918 PQM851918 QAI851918 QKE851918 QUA851918 RDW851918 RNS851918 RXO851918 SHK851918 SRG851918 TBC851918 TKY851918 TUU851918 UEQ851918 UOM851918 UYI851918 VIE851918 VSA851918 WBW851918 WLS851918 WVO851918 G917454 JC917454 SY917454 ACU917454 AMQ917454 AWM917454 BGI917454 BQE917454 CAA917454 CJW917454 CTS917454 DDO917454 DNK917454 DXG917454 EHC917454 EQY917454 FAU917454 FKQ917454 FUM917454 GEI917454 GOE917454 GYA917454 HHW917454 HRS917454 IBO917454 ILK917454 IVG917454 JFC917454 JOY917454 JYU917454 KIQ917454 KSM917454 LCI917454 LME917454 LWA917454 MFW917454 MPS917454 MZO917454 NJK917454 NTG917454 ODC917454 OMY917454 OWU917454 PGQ917454 PQM917454 QAI917454 QKE917454 QUA917454 RDW917454 RNS917454 RXO917454 SHK917454 SRG917454 TBC917454 TKY917454 TUU917454 UEQ917454 UOM917454 UYI917454 VIE917454 VSA917454 WBW917454 WLS917454 WVO917454 G982990 JC982990 SY982990 ACU982990 AMQ982990 AWM982990 BGI982990 BQE982990 CAA982990 CJW982990 CTS982990 DDO982990 DNK982990 DXG982990 EHC982990 EQY982990 FAU982990 FKQ982990 FUM982990 GEI982990 GOE982990 GYA982990 HHW982990 HRS982990 IBO982990 ILK982990 IVG982990 JFC982990 JOY982990 JYU982990 KIQ982990 KSM982990 LCI982990 LME982990 LWA982990 MFW982990 MPS982990 MZO982990 NJK982990 NTG982990 ODC982990 OMY982990 OWU982990 PGQ982990 PQM982990 QAI982990 QKE982990 QUA982990 RDW982990 RNS982990 RXO982990 SHK982990 SRG982990 TBC982990 TKY982990 TUU982990 UEQ982990 UOM982990 UYI982990 VIE982990 VSA982990 WBW982990 WLS982990 G8" xr:uid="{00000000-0002-0000-0200-000000000000}"/>
    <dataValidation allowBlank="1" showInputMessage="1" showErrorMessage="1" prompt="Chưa bao gồm chi chuyển giao ngân sách " sqref="WVP982990 JB8 SX8 ACT8 AMP8 AWL8 BGH8 BQD8 BZZ8 CJV8 CTR8 DDN8 DNJ8 DXF8 EHB8 EQX8 FAT8 FKP8 FUL8 GEH8 GOD8 GXZ8 HHV8 HRR8 IBN8 ILJ8 IVF8 JFB8 JOX8 JYT8 KIP8 KSL8 LCH8 LMD8 LVZ8 MFV8 MPR8 MZN8 NJJ8 NTF8 ODB8 OMX8 OWT8 PGP8 PQL8 QAH8 QKD8 QTZ8 RDV8 RNR8 RXN8 SHJ8 SRF8 TBB8 TKX8 TUT8 UEP8 UOL8 UYH8 VID8 VRZ8 WBV8 WLR8 WVN8 F65486 JB65486 SX65486 ACT65486 AMP65486 AWL65486 BGH65486 BQD65486 BZZ65486 CJV65486 CTR65486 DDN65486 DNJ65486 DXF65486 EHB65486 EQX65486 FAT65486 FKP65486 FUL65486 GEH65486 GOD65486 GXZ65486 HHV65486 HRR65486 IBN65486 ILJ65486 IVF65486 JFB65486 JOX65486 JYT65486 KIP65486 KSL65486 LCH65486 LMD65486 LVZ65486 MFV65486 MPR65486 MZN65486 NJJ65486 NTF65486 ODB65486 OMX65486 OWT65486 PGP65486 PQL65486 QAH65486 QKD65486 QTZ65486 RDV65486 RNR65486 RXN65486 SHJ65486 SRF65486 TBB65486 TKX65486 TUT65486 UEP65486 UOL65486 UYH65486 VID65486 VRZ65486 WBV65486 WLR65486 WVN65486 F131022 JB131022 SX131022 ACT131022 AMP131022 AWL131022 BGH131022 BQD131022 BZZ131022 CJV131022 CTR131022 DDN131022 DNJ131022 DXF131022 EHB131022 EQX131022 FAT131022 FKP131022 FUL131022 GEH131022 GOD131022 GXZ131022 HHV131022 HRR131022 IBN131022 ILJ131022 IVF131022 JFB131022 JOX131022 JYT131022 KIP131022 KSL131022 LCH131022 LMD131022 LVZ131022 MFV131022 MPR131022 MZN131022 NJJ131022 NTF131022 ODB131022 OMX131022 OWT131022 PGP131022 PQL131022 QAH131022 QKD131022 QTZ131022 RDV131022 RNR131022 RXN131022 SHJ131022 SRF131022 TBB131022 TKX131022 TUT131022 UEP131022 UOL131022 UYH131022 VID131022 VRZ131022 WBV131022 WLR131022 WVN131022 F196558 JB196558 SX196558 ACT196558 AMP196558 AWL196558 BGH196558 BQD196558 BZZ196558 CJV196558 CTR196558 DDN196558 DNJ196558 DXF196558 EHB196558 EQX196558 FAT196558 FKP196558 FUL196558 GEH196558 GOD196558 GXZ196558 HHV196558 HRR196558 IBN196558 ILJ196558 IVF196558 JFB196558 JOX196558 JYT196558 KIP196558 KSL196558 LCH196558 LMD196558 LVZ196558 MFV196558 MPR196558 MZN196558 NJJ196558 NTF196558 ODB196558 OMX196558 OWT196558 PGP196558 PQL196558 QAH196558 QKD196558 QTZ196558 RDV196558 RNR196558 RXN196558 SHJ196558 SRF196558 TBB196558 TKX196558 TUT196558 UEP196558 UOL196558 UYH196558 VID196558 VRZ196558 WBV196558 WLR196558 WVN196558 F262094 JB262094 SX262094 ACT262094 AMP262094 AWL262094 BGH262094 BQD262094 BZZ262094 CJV262094 CTR262094 DDN262094 DNJ262094 DXF262094 EHB262094 EQX262094 FAT262094 FKP262094 FUL262094 GEH262094 GOD262094 GXZ262094 HHV262094 HRR262094 IBN262094 ILJ262094 IVF262094 JFB262094 JOX262094 JYT262094 KIP262094 KSL262094 LCH262094 LMD262094 LVZ262094 MFV262094 MPR262094 MZN262094 NJJ262094 NTF262094 ODB262094 OMX262094 OWT262094 PGP262094 PQL262094 QAH262094 QKD262094 QTZ262094 RDV262094 RNR262094 RXN262094 SHJ262094 SRF262094 TBB262094 TKX262094 TUT262094 UEP262094 UOL262094 UYH262094 VID262094 VRZ262094 WBV262094 WLR262094 WVN262094 F327630 JB327630 SX327630 ACT327630 AMP327630 AWL327630 BGH327630 BQD327630 BZZ327630 CJV327630 CTR327630 DDN327630 DNJ327630 DXF327630 EHB327630 EQX327630 FAT327630 FKP327630 FUL327630 GEH327630 GOD327630 GXZ327630 HHV327630 HRR327630 IBN327630 ILJ327630 IVF327630 JFB327630 JOX327630 JYT327630 KIP327630 KSL327630 LCH327630 LMD327630 LVZ327630 MFV327630 MPR327630 MZN327630 NJJ327630 NTF327630 ODB327630 OMX327630 OWT327630 PGP327630 PQL327630 QAH327630 QKD327630 QTZ327630 RDV327630 RNR327630 RXN327630 SHJ327630 SRF327630 TBB327630 TKX327630 TUT327630 UEP327630 UOL327630 UYH327630 VID327630 VRZ327630 WBV327630 WLR327630 WVN327630 F393166 JB393166 SX393166 ACT393166 AMP393166 AWL393166 BGH393166 BQD393166 BZZ393166 CJV393166 CTR393166 DDN393166 DNJ393166 DXF393166 EHB393166 EQX393166 FAT393166 FKP393166 FUL393166 GEH393166 GOD393166 GXZ393166 HHV393166 HRR393166 IBN393166 ILJ393166 IVF393166 JFB393166 JOX393166 JYT393166 KIP393166 KSL393166 LCH393166 LMD393166 LVZ393166 MFV393166 MPR393166 MZN393166 NJJ393166 NTF393166 ODB393166 OMX393166 OWT393166 PGP393166 PQL393166 QAH393166 QKD393166 QTZ393166 RDV393166 RNR393166 RXN393166 SHJ393166 SRF393166 TBB393166 TKX393166 TUT393166 UEP393166 UOL393166 UYH393166 VID393166 VRZ393166 WBV393166 WLR393166 WVN393166 F458702 JB458702 SX458702 ACT458702 AMP458702 AWL458702 BGH458702 BQD458702 BZZ458702 CJV458702 CTR458702 DDN458702 DNJ458702 DXF458702 EHB458702 EQX458702 FAT458702 FKP458702 FUL458702 GEH458702 GOD458702 GXZ458702 HHV458702 HRR458702 IBN458702 ILJ458702 IVF458702 JFB458702 JOX458702 JYT458702 KIP458702 KSL458702 LCH458702 LMD458702 LVZ458702 MFV458702 MPR458702 MZN458702 NJJ458702 NTF458702 ODB458702 OMX458702 OWT458702 PGP458702 PQL458702 QAH458702 QKD458702 QTZ458702 RDV458702 RNR458702 RXN458702 SHJ458702 SRF458702 TBB458702 TKX458702 TUT458702 UEP458702 UOL458702 UYH458702 VID458702 VRZ458702 WBV458702 WLR458702 WVN458702 F524238 JB524238 SX524238 ACT524238 AMP524238 AWL524238 BGH524238 BQD524238 BZZ524238 CJV524238 CTR524238 DDN524238 DNJ524238 DXF524238 EHB524238 EQX524238 FAT524238 FKP524238 FUL524238 GEH524238 GOD524238 GXZ524238 HHV524238 HRR524238 IBN524238 ILJ524238 IVF524238 JFB524238 JOX524238 JYT524238 KIP524238 KSL524238 LCH524238 LMD524238 LVZ524238 MFV524238 MPR524238 MZN524238 NJJ524238 NTF524238 ODB524238 OMX524238 OWT524238 PGP524238 PQL524238 QAH524238 QKD524238 QTZ524238 RDV524238 RNR524238 RXN524238 SHJ524238 SRF524238 TBB524238 TKX524238 TUT524238 UEP524238 UOL524238 UYH524238 VID524238 VRZ524238 WBV524238 WLR524238 WVN524238 F589774 JB589774 SX589774 ACT589774 AMP589774 AWL589774 BGH589774 BQD589774 BZZ589774 CJV589774 CTR589774 DDN589774 DNJ589774 DXF589774 EHB589774 EQX589774 FAT589774 FKP589774 FUL589774 GEH589774 GOD589774 GXZ589774 HHV589774 HRR589774 IBN589774 ILJ589774 IVF589774 JFB589774 JOX589774 JYT589774 KIP589774 KSL589774 LCH589774 LMD589774 LVZ589774 MFV589774 MPR589774 MZN589774 NJJ589774 NTF589774 ODB589774 OMX589774 OWT589774 PGP589774 PQL589774 QAH589774 QKD589774 QTZ589774 RDV589774 RNR589774 RXN589774 SHJ589774 SRF589774 TBB589774 TKX589774 TUT589774 UEP589774 UOL589774 UYH589774 VID589774 VRZ589774 WBV589774 WLR589774 WVN589774 F655310 JB655310 SX655310 ACT655310 AMP655310 AWL655310 BGH655310 BQD655310 BZZ655310 CJV655310 CTR655310 DDN655310 DNJ655310 DXF655310 EHB655310 EQX655310 FAT655310 FKP655310 FUL655310 GEH655310 GOD655310 GXZ655310 HHV655310 HRR655310 IBN655310 ILJ655310 IVF655310 JFB655310 JOX655310 JYT655310 KIP655310 KSL655310 LCH655310 LMD655310 LVZ655310 MFV655310 MPR655310 MZN655310 NJJ655310 NTF655310 ODB655310 OMX655310 OWT655310 PGP655310 PQL655310 QAH655310 QKD655310 QTZ655310 RDV655310 RNR655310 RXN655310 SHJ655310 SRF655310 TBB655310 TKX655310 TUT655310 UEP655310 UOL655310 UYH655310 VID655310 VRZ655310 WBV655310 WLR655310 WVN655310 F720846 JB720846 SX720846 ACT720846 AMP720846 AWL720846 BGH720846 BQD720846 BZZ720846 CJV720846 CTR720846 DDN720846 DNJ720846 DXF720846 EHB720846 EQX720846 FAT720846 FKP720846 FUL720846 GEH720846 GOD720846 GXZ720846 HHV720846 HRR720846 IBN720846 ILJ720846 IVF720846 JFB720846 JOX720846 JYT720846 KIP720846 KSL720846 LCH720846 LMD720846 LVZ720846 MFV720846 MPR720846 MZN720846 NJJ720846 NTF720846 ODB720846 OMX720846 OWT720846 PGP720846 PQL720846 QAH720846 QKD720846 QTZ720846 RDV720846 RNR720846 RXN720846 SHJ720846 SRF720846 TBB720846 TKX720846 TUT720846 UEP720846 UOL720846 UYH720846 VID720846 VRZ720846 WBV720846 WLR720846 WVN720846 F786382 JB786382 SX786382 ACT786382 AMP786382 AWL786382 BGH786382 BQD786382 BZZ786382 CJV786382 CTR786382 DDN786382 DNJ786382 DXF786382 EHB786382 EQX786382 FAT786382 FKP786382 FUL786382 GEH786382 GOD786382 GXZ786382 HHV786382 HRR786382 IBN786382 ILJ786382 IVF786382 JFB786382 JOX786382 JYT786382 KIP786382 KSL786382 LCH786382 LMD786382 LVZ786382 MFV786382 MPR786382 MZN786382 NJJ786382 NTF786382 ODB786382 OMX786382 OWT786382 PGP786382 PQL786382 QAH786382 QKD786382 QTZ786382 RDV786382 RNR786382 RXN786382 SHJ786382 SRF786382 TBB786382 TKX786382 TUT786382 UEP786382 UOL786382 UYH786382 VID786382 VRZ786382 WBV786382 WLR786382 WVN786382 F851918 JB851918 SX851918 ACT851918 AMP851918 AWL851918 BGH851918 BQD851918 BZZ851918 CJV851918 CTR851918 DDN851918 DNJ851918 DXF851918 EHB851918 EQX851918 FAT851918 FKP851918 FUL851918 GEH851918 GOD851918 GXZ851918 HHV851918 HRR851918 IBN851918 ILJ851918 IVF851918 JFB851918 JOX851918 JYT851918 KIP851918 KSL851918 LCH851918 LMD851918 LVZ851918 MFV851918 MPR851918 MZN851918 NJJ851918 NTF851918 ODB851918 OMX851918 OWT851918 PGP851918 PQL851918 QAH851918 QKD851918 QTZ851918 RDV851918 RNR851918 RXN851918 SHJ851918 SRF851918 TBB851918 TKX851918 TUT851918 UEP851918 UOL851918 UYH851918 VID851918 VRZ851918 WBV851918 WLR851918 WVN851918 F917454 JB917454 SX917454 ACT917454 AMP917454 AWL917454 BGH917454 BQD917454 BZZ917454 CJV917454 CTR917454 DDN917454 DNJ917454 DXF917454 EHB917454 EQX917454 FAT917454 FKP917454 FUL917454 GEH917454 GOD917454 GXZ917454 HHV917454 HRR917454 IBN917454 ILJ917454 IVF917454 JFB917454 JOX917454 JYT917454 KIP917454 KSL917454 LCH917454 LMD917454 LVZ917454 MFV917454 MPR917454 MZN917454 NJJ917454 NTF917454 ODB917454 OMX917454 OWT917454 PGP917454 PQL917454 QAH917454 QKD917454 QTZ917454 RDV917454 RNR917454 RXN917454 SHJ917454 SRF917454 TBB917454 TKX917454 TUT917454 UEP917454 UOL917454 UYH917454 VID917454 VRZ917454 WBV917454 WLR917454 WVN917454 F982990 JB982990 SX982990 ACT982990 AMP982990 AWL982990 BGH982990 BQD982990 BZZ982990 CJV982990 CTR982990 DDN982990 DNJ982990 DXF982990 EHB982990 EQX982990 FAT982990 FKP982990 FUL982990 GEH982990 GOD982990 GXZ982990 HHV982990 HRR982990 IBN982990 ILJ982990 IVF982990 JFB982990 JOX982990 JYT982990 KIP982990 KSL982990 LCH982990 LMD982990 LVZ982990 MFV982990 MPR982990 MZN982990 NJJ982990 NTF982990 ODB982990 OMX982990 OWT982990 PGP982990 PQL982990 QAH982990 QKD982990 QTZ982990 RDV982990 RNR982990 RXN982990 SHJ982990 SRF982990 TBB982990 TKX982990 TUT982990 UEP982990 UOL982990 UYH982990 VID982990 VRZ982990 WBV982990 WLR982990 WVN982990 WLT982990 JD8 SZ8 ACV8 AMR8 AWN8 BGJ8 BQF8 CAB8 CJX8 CTT8 DDP8 DNL8 DXH8 EHD8 EQZ8 FAV8 FKR8 FUN8 GEJ8 GOF8 GYB8 HHX8 HRT8 IBP8 ILL8 IVH8 JFD8 JOZ8 JYV8 KIR8 KSN8 LCJ8 LMF8 LWB8 MFX8 MPT8 MZP8 NJL8 NTH8 ODD8 OMZ8 OWV8 PGR8 PQN8 QAJ8 QKF8 QUB8 RDX8 RNT8 RXP8 SHL8 SRH8 TBD8 TKZ8 TUV8 UER8 UON8 UYJ8 VIF8 VSB8 WBX8 WLT8 WVP8 H65486 JD65486 SZ65486 ACV65486 AMR65486 AWN65486 BGJ65486 BQF65486 CAB65486 CJX65486 CTT65486 DDP65486 DNL65486 DXH65486 EHD65486 EQZ65486 FAV65486 FKR65486 FUN65486 GEJ65486 GOF65486 GYB65486 HHX65486 HRT65486 IBP65486 ILL65486 IVH65486 JFD65486 JOZ65486 JYV65486 KIR65486 KSN65486 LCJ65486 LMF65486 LWB65486 MFX65486 MPT65486 MZP65486 NJL65486 NTH65486 ODD65486 OMZ65486 OWV65486 PGR65486 PQN65486 QAJ65486 QKF65486 QUB65486 RDX65486 RNT65486 RXP65486 SHL65486 SRH65486 TBD65486 TKZ65486 TUV65486 UER65486 UON65486 UYJ65486 VIF65486 VSB65486 WBX65486 WLT65486 WVP65486 H131022 JD131022 SZ131022 ACV131022 AMR131022 AWN131022 BGJ131022 BQF131022 CAB131022 CJX131022 CTT131022 DDP131022 DNL131022 DXH131022 EHD131022 EQZ131022 FAV131022 FKR131022 FUN131022 GEJ131022 GOF131022 GYB131022 HHX131022 HRT131022 IBP131022 ILL131022 IVH131022 JFD131022 JOZ131022 JYV131022 KIR131022 KSN131022 LCJ131022 LMF131022 LWB131022 MFX131022 MPT131022 MZP131022 NJL131022 NTH131022 ODD131022 OMZ131022 OWV131022 PGR131022 PQN131022 QAJ131022 QKF131022 QUB131022 RDX131022 RNT131022 RXP131022 SHL131022 SRH131022 TBD131022 TKZ131022 TUV131022 UER131022 UON131022 UYJ131022 VIF131022 VSB131022 WBX131022 WLT131022 WVP131022 H196558 JD196558 SZ196558 ACV196558 AMR196558 AWN196558 BGJ196558 BQF196558 CAB196558 CJX196558 CTT196558 DDP196558 DNL196558 DXH196558 EHD196558 EQZ196558 FAV196558 FKR196558 FUN196558 GEJ196558 GOF196558 GYB196558 HHX196558 HRT196558 IBP196558 ILL196558 IVH196558 JFD196558 JOZ196558 JYV196558 KIR196558 KSN196558 LCJ196558 LMF196558 LWB196558 MFX196558 MPT196558 MZP196558 NJL196558 NTH196558 ODD196558 OMZ196558 OWV196558 PGR196558 PQN196558 QAJ196558 QKF196558 QUB196558 RDX196558 RNT196558 RXP196558 SHL196558 SRH196558 TBD196558 TKZ196558 TUV196558 UER196558 UON196558 UYJ196558 VIF196558 VSB196558 WBX196558 WLT196558 WVP196558 H262094 JD262094 SZ262094 ACV262094 AMR262094 AWN262094 BGJ262094 BQF262094 CAB262094 CJX262094 CTT262094 DDP262094 DNL262094 DXH262094 EHD262094 EQZ262094 FAV262094 FKR262094 FUN262094 GEJ262094 GOF262094 GYB262094 HHX262094 HRT262094 IBP262094 ILL262094 IVH262094 JFD262094 JOZ262094 JYV262094 KIR262094 KSN262094 LCJ262094 LMF262094 LWB262094 MFX262094 MPT262094 MZP262094 NJL262094 NTH262094 ODD262094 OMZ262094 OWV262094 PGR262094 PQN262094 QAJ262094 QKF262094 QUB262094 RDX262094 RNT262094 RXP262094 SHL262094 SRH262094 TBD262094 TKZ262094 TUV262094 UER262094 UON262094 UYJ262094 VIF262094 VSB262094 WBX262094 WLT262094 WVP262094 H327630 JD327630 SZ327630 ACV327630 AMR327630 AWN327630 BGJ327630 BQF327630 CAB327630 CJX327630 CTT327630 DDP327630 DNL327630 DXH327630 EHD327630 EQZ327630 FAV327630 FKR327630 FUN327630 GEJ327630 GOF327630 GYB327630 HHX327630 HRT327630 IBP327630 ILL327630 IVH327630 JFD327630 JOZ327630 JYV327630 KIR327630 KSN327630 LCJ327630 LMF327630 LWB327630 MFX327630 MPT327630 MZP327630 NJL327630 NTH327630 ODD327630 OMZ327630 OWV327630 PGR327630 PQN327630 QAJ327630 QKF327630 QUB327630 RDX327630 RNT327630 RXP327630 SHL327630 SRH327630 TBD327630 TKZ327630 TUV327630 UER327630 UON327630 UYJ327630 VIF327630 VSB327630 WBX327630 WLT327630 WVP327630 H393166 JD393166 SZ393166 ACV393166 AMR393166 AWN393166 BGJ393166 BQF393166 CAB393166 CJX393166 CTT393166 DDP393166 DNL393166 DXH393166 EHD393166 EQZ393166 FAV393166 FKR393166 FUN393166 GEJ393166 GOF393166 GYB393166 HHX393166 HRT393166 IBP393166 ILL393166 IVH393166 JFD393166 JOZ393166 JYV393166 KIR393166 KSN393166 LCJ393166 LMF393166 LWB393166 MFX393166 MPT393166 MZP393166 NJL393166 NTH393166 ODD393166 OMZ393166 OWV393166 PGR393166 PQN393166 QAJ393166 QKF393166 QUB393166 RDX393166 RNT393166 RXP393166 SHL393166 SRH393166 TBD393166 TKZ393166 TUV393166 UER393166 UON393166 UYJ393166 VIF393166 VSB393166 WBX393166 WLT393166 WVP393166 H458702 JD458702 SZ458702 ACV458702 AMR458702 AWN458702 BGJ458702 BQF458702 CAB458702 CJX458702 CTT458702 DDP458702 DNL458702 DXH458702 EHD458702 EQZ458702 FAV458702 FKR458702 FUN458702 GEJ458702 GOF458702 GYB458702 HHX458702 HRT458702 IBP458702 ILL458702 IVH458702 JFD458702 JOZ458702 JYV458702 KIR458702 KSN458702 LCJ458702 LMF458702 LWB458702 MFX458702 MPT458702 MZP458702 NJL458702 NTH458702 ODD458702 OMZ458702 OWV458702 PGR458702 PQN458702 QAJ458702 QKF458702 QUB458702 RDX458702 RNT458702 RXP458702 SHL458702 SRH458702 TBD458702 TKZ458702 TUV458702 UER458702 UON458702 UYJ458702 VIF458702 VSB458702 WBX458702 WLT458702 WVP458702 H524238 JD524238 SZ524238 ACV524238 AMR524238 AWN524238 BGJ524238 BQF524238 CAB524238 CJX524238 CTT524238 DDP524238 DNL524238 DXH524238 EHD524238 EQZ524238 FAV524238 FKR524238 FUN524238 GEJ524238 GOF524238 GYB524238 HHX524238 HRT524238 IBP524238 ILL524238 IVH524238 JFD524238 JOZ524238 JYV524238 KIR524238 KSN524238 LCJ524238 LMF524238 LWB524238 MFX524238 MPT524238 MZP524238 NJL524238 NTH524238 ODD524238 OMZ524238 OWV524238 PGR524238 PQN524238 QAJ524238 QKF524238 QUB524238 RDX524238 RNT524238 RXP524238 SHL524238 SRH524238 TBD524238 TKZ524238 TUV524238 UER524238 UON524238 UYJ524238 VIF524238 VSB524238 WBX524238 WLT524238 WVP524238 H589774 JD589774 SZ589774 ACV589774 AMR589774 AWN589774 BGJ589774 BQF589774 CAB589774 CJX589774 CTT589774 DDP589774 DNL589774 DXH589774 EHD589774 EQZ589774 FAV589774 FKR589774 FUN589774 GEJ589774 GOF589774 GYB589774 HHX589774 HRT589774 IBP589774 ILL589774 IVH589774 JFD589774 JOZ589774 JYV589774 KIR589774 KSN589774 LCJ589774 LMF589774 LWB589774 MFX589774 MPT589774 MZP589774 NJL589774 NTH589774 ODD589774 OMZ589774 OWV589774 PGR589774 PQN589774 QAJ589774 QKF589774 QUB589774 RDX589774 RNT589774 RXP589774 SHL589774 SRH589774 TBD589774 TKZ589774 TUV589774 UER589774 UON589774 UYJ589774 VIF589774 VSB589774 WBX589774 WLT589774 WVP589774 H655310 JD655310 SZ655310 ACV655310 AMR655310 AWN655310 BGJ655310 BQF655310 CAB655310 CJX655310 CTT655310 DDP655310 DNL655310 DXH655310 EHD655310 EQZ655310 FAV655310 FKR655310 FUN655310 GEJ655310 GOF655310 GYB655310 HHX655310 HRT655310 IBP655310 ILL655310 IVH655310 JFD655310 JOZ655310 JYV655310 KIR655310 KSN655310 LCJ655310 LMF655310 LWB655310 MFX655310 MPT655310 MZP655310 NJL655310 NTH655310 ODD655310 OMZ655310 OWV655310 PGR655310 PQN655310 QAJ655310 QKF655310 QUB655310 RDX655310 RNT655310 RXP655310 SHL655310 SRH655310 TBD655310 TKZ655310 TUV655310 UER655310 UON655310 UYJ655310 VIF655310 VSB655310 WBX655310 WLT655310 WVP655310 H720846 JD720846 SZ720846 ACV720846 AMR720846 AWN720846 BGJ720846 BQF720846 CAB720846 CJX720846 CTT720846 DDP720846 DNL720846 DXH720846 EHD720846 EQZ720846 FAV720846 FKR720846 FUN720846 GEJ720846 GOF720846 GYB720846 HHX720846 HRT720846 IBP720846 ILL720846 IVH720846 JFD720846 JOZ720846 JYV720846 KIR720846 KSN720846 LCJ720846 LMF720846 LWB720846 MFX720846 MPT720846 MZP720846 NJL720846 NTH720846 ODD720846 OMZ720846 OWV720846 PGR720846 PQN720846 QAJ720846 QKF720846 QUB720846 RDX720846 RNT720846 RXP720846 SHL720846 SRH720846 TBD720846 TKZ720846 TUV720846 UER720846 UON720846 UYJ720846 VIF720846 VSB720846 WBX720846 WLT720846 WVP720846 H786382 JD786382 SZ786382 ACV786382 AMR786382 AWN786382 BGJ786382 BQF786382 CAB786382 CJX786382 CTT786382 DDP786382 DNL786382 DXH786382 EHD786382 EQZ786382 FAV786382 FKR786382 FUN786382 GEJ786382 GOF786382 GYB786382 HHX786382 HRT786382 IBP786382 ILL786382 IVH786382 JFD786382 JOZ786382 JYV786382 KIR786382 KSN786382 LCJ786382 LMF786382 LWB786382 MFX786382 MPT786382 MZP786382 NJL786382 NTH786382 ODD786382 OMZ786382 OWV786382 PGR786382 PQN786382 QAJ786382 QKF786382 QUB786382 RDX786382 RNT786382 RXP786382 SHL786382 SRH786382 TBD786382 TKZ786382 TUV786382 UER786382 UON786382 UYJ786382 VIF786382 VSB786382 WBX786382 WLT786382 WVP786382 H851918 JD851918 SZ851918 ACV851918 AMR851918 AWN851918 BGJ851918 BQF851918 CAB851918 CJX851918 CTT851918 DDP851918 DNL851918 DXH851918 EHD851918 EQZ851918 FAV851918 FKR851918 FUN851918 GEJ851918 GOF851918 GYB851918 HHX851918 HRT851918 IBP851918 ILL851918 IVH851918 JFD851918 JOZ851918 JYV851918 KIR851918 KSN851918 LCJ851918 LMF851918 LWB851918 MFX851918 MPT851918 MZP851918 NJL851918 NTH851918 ODD851918 OMZ851918 OWV851918 PGR851918 PQN851918 QAJ851918 QKF851918 QUB851918 RDX851918 RNT851918 RXP851918 SHL851918 SRH851918 TBD851918 TKZ851918 TUV851918 UER851918 UON851918 UYJ851918 VIF851918 VSB851918 WBX851918 WLT851918 WVP851918 H917454 JD917454 SZ917454 ACV917454 AMR917454 AWN917454 BGJ917454 BQF917454 CAB917454 CJX917454 CTT917454 DDP917454 DNL917454 DXH917454 EHD917454 EQZ917454 FAV917454 FKR917454 FUN917454 GEJ917454 GOF917454 GYB917454 HHX917454 HRT917454 IBP917454 ILL917454 IVH917454 JFD917454 JOZ917454 JYV917454 KIR917454 KSN917454 LCJ917454 LMF917454 LWB917454 MFX917454 MPT917454 MZP917454 NJL917454 NTH917454 ODD917454 OMZ917454 OWV917454 PGR917454 PQN917454 QAJ917454 QKF917454 QUB917454 RDX917454 RNT917454 RXP917454 SHL917454 SRH917454 TBD917454 TKZ917454 TUV917454 UER917454 UON917454 UYJ917454 VIF917454 VSB917454 WBX917454 WLT917454 WVP917454 H982990 JD982990 SZ982990 ACV982990 AMR982990 AWN982990 BGJ982990 BQF982990 CAB982990 CJX982990 CTT982990 DDP982990 DNL982990 DXH982990 EHD982990 EQZ982990 FAV982990 FKR982990 FUN982990 GEJ982990 GOF982990 GYB982990 HHX982990 HRT982990 IBP982990 ILL982990 IVH982990 JFD982990 JOZ982990 JYV982990 KIR982990 KSN982990 LCJ982990 LMF982990 LWB982990 MFX982990 MPT982990 MZP982990 NJL982990 NTH982990 ODD982990 OMZ982990 OWV982990 PGR982990 PQN982990 QAJ982990 QKF982990 QUB982990 RDX982990 RNT982990 RXP982990 SHL982990 SRH982990 TBD982990 TKZ982990 TUV982990 UER982990 UON982990 UYJ982990 VIF982990 VSB982990 WBX982990 F8 H8" xr:uid="{00000000-0002-0000-0200-000001000000}"/>
  </dataValidations>
  <printOptions horizontalCentered="1"/>
  <pageMargins left="0" right="0" top="0.75" bottom="0.45" header="0.3" footer="0.3"/>
  <pageSetup paperSize="9" scale="8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48"/>
  <sheetViews>
    <sheetView zoomScaleNormal="100" workbookViewId="0">
      <pane xSplit="2" ySplit="7" topLeftCell="C38" activePane="bottomRight" state="frozen"/>
      <selection pane="topRight" activeCell="C1" sqref="C1"/>
      <selection pane="bottomLeft" activeCell="A8" sqref="A8"/>
      <selection pane="bottomRight" activeCell="A4" sqref="A4:E4"/>
    </sheetView>
  </sheetViews>
  <sheetFormatPr defaultColWidth="9.140625" defaultRowHeight="15.75" x14ac:dyDescent="0.25"/>
  <cols>
    <col min="1" max="1" width="6.85546875" style="9" customWidth="1"/>
    <col min="2" max="2" width="56.42578125" style="9" customWidth="1"/>
    <col min="3" max="3" width="14.42578125" style="9" customWidth="1"/>
    <col min="4" max="4" width="16" style="9" customWidth="1"/>
    <col min="5" max="5" width="15.5703125" style="9" customWidth="1"/>
    <col min="6" max="6" width="13.140625" style="9" customWidth="1"/>
    <col min="7" max="7" width="15.42578125" style="9" bestFit="1" customWidth="1"/>
    <col min="8" max="8" width="11.42578125" style="9" bestFit="1" customWidth="1"/>
    <col min="9" max="9" width="10.140625" style="9" bestFit="1" customWidth="1"/>
    <col min="10" max="10" width="9.140625" style="9"/>
    <col min="11" max="11" width="11.42578125" style="9" bestFit="1" customWidth="1"/>
    <col min="12" max="16384" width="9.140625" style="9"/>
  </cols>
  <sheetData>
    <row r="1" spans="1:11" x14ac:dyDescent="0.25">
      <c r="A1" s="15"/>
      <c r="D1" s="15" t="s">
        <v>77</v>
      </c>
    </row>
    <row r="2" spans="1:11" x14ac:dyDescent="0.25">
      <c r="A2" s="29"/>
    </row>
    <row r="3" spans="1:11" ht="16.5" x14ac:dyDescent="0.25">
      <c r="A3" s="318" t="s">
        <v>647</v>
      </c>
      <c r="B3" s="318"/>
      <c r="C3" s="318"/>
      <c r="D3" s="318"/>
      <c r="E3" s="318"/>
    </row>
    <row r="4" spans="1:11" x14ac:dyDescent="0.25">
      <c r="A4" s="319" t="s">
        <v>708</v>
      </c>
      <c r="B4" s="319"/>
      <c r="C4" s="319"/>
      <c r="D4" s="319"/>
      <c r="E4" s="319"/>
    </row>
    <row r="5" spans="1:11" x14ac:dyDescent="0.25">
      <c r="B5" s="2"/>
      <c r="C5" s="21"/>
      <c r="D5" s="42" t="s">
        <v>154</v>
      </c>
    </row>
    <row r="6" spans="1:11" x14ac:dyDescent="0.25">
      <c r="A6" s="53" t="s">
        <v>2</v>
      </c>
      <c r="B6" s="53" t="s">
        <v>3</v>
      </c>
      <c r="C6" s="53" t="s">
        <v>35</v>
      </c>
      <c r="D6" s="53" t="s">
        <v>5</v>
      </c>
      <c r="E6" s="53" t="s">
        <v>6</v>
      </c>
      <c r="G6" s="6"/>
    </row>
    <row r="7" spans="1:11" x14ac:dyDescent="0.25">
      <c r="A7" s="243" t="s">
        <v>7</v>
      </c>
      <c r="B7" s="243" t="s">
        <v>8</v>
      </c>
      <c r="C7" s="243">
        <v>1</v>
      </c>
      <c r="D7" s="243">
        <v>2</v>
      </c>
      <c r="E7" s="243" t="s">
        <v>9</v>
      </c>
      <c r="G7" s="6"/>
      <c r="H7" s="6"/>
    </row>
    <row r="8" spans="1:11" s="36" customFormat="1" ht="19.5" customHeight="1" x14ac:dyDescent="0.25">
      <c r="A8" s="198"/>
      <c r="B8" s="199" t="s">
        <v>20</v>
      </c>
      <c r="C8" s="289">
        <f>C9+C10+C47+C48</f>
        <v>9042071.2628682293</v>
      </c>
      <c r="D8" s="289">
        <f>D9+D10+D47+D48</f>
        <v>8900850.0361119993</v>
      </c>
      <c r="E8" s="293">
        <f>IF((C8&gt;0),D8/C8*100,0)</f>
        <v>98.438176136300072</v>
      </c>
      <c r="F8" s="44"/>
      <c r="G8" s="44"/>
      <c r="H8" s="43"/>
    </row>
    <row r="9" spans="1:11" s="36" customFormat="1" ht="31.5" x14ac:dyDescent="0.25">
      <c r="A9" s="85" t="s">
        <v>7</v>
      </c>
      <c r="B9" s="86" t="s">
        <v>500</v>
      </c>
      <c r="C9" s="215">
        <v>2446169</v>
      </c>
      <c r="D9" s="215">
        <v>2433666.660832</v>
      </c>
      <c r="E9" s="294">
        <f>IF((C9&gt;0),D9/C9*100,0)</f>
        <v>99.488901250567721</v>
      </c>
      <c r="F9" s="44"/>
      <c r="G9" s="44"/>
      <c r="H9" s="44"/>
    </row>
    <row r="10" spans="1:11" s="16" customFormat="1" ht="31.5" x14ac:dyDescent="0.25">
      <c r="A10" s="85" t="s">
        <v>8</v>
      </c>
      <c r="B10" s="86" t="s">
        <v>501</v>
      </c>
      <c r="C10" s="215">
        <f>C11+C28+C40+C41+C42+C44+C45+C43</f>
        <v>6595902.2628682284</v>
      </c>
      <c r="D10" s="215">
        <f>D11+D28+D40+D41+D42+D44+D45+D46+D43</f>
        <v>3484789.5643090005</v>
      </c>
      <c r="E10" s="294">
        <f>IF((C10&gt;0),D10/C10*100,0)</f>
        <v>52.832644048210007</v>
      </c>
      <c r="F10" s="44"/>
      <c r="G10" s="242"/>
      <c r="H10" s="45"/>
      <c r="K10" s="44"/>
    </row>
    <row r="11" spans="1:11" s="36" customFormat="1" x14ac:dyDescent="0.25">
      <c r="A11" s="85" t="s">
        <v>39</v>
      </c>
      <c r="B11" s="86" t="s">
        <v>155</v>
      </c>
      <c r="C11" s="215">
        <f>C12+C26+C27</f>
        <v>2869983</v>
      </c>
      <c r="D11" s="215">
        <f>D12+D26+D27</f>
        <v>1372779.7954070005</v>
      </c>
      <c r="E11" s="295">
        <f t="shared" ref="E11:E48" si="0">IF((C11&gt;0),D11/C11*100,0)</f>
        <v>47.832331947854762</v>
      </c>
      <c r="F11" s="44"/>
      <c r="G11" s="110"/>
      <c r="K11" s="44"/>
    </row>
    <row r="12" spans="1:11" s="16" customFormat="1" x14ac:dyDescent="0.25">
      <c r="A12" s="85">
        <v>1</v>
      </c>
      <c r="B12" s="86" t="s">
        <v>66</v>
      </c>
      <c r="C12" s="215">
        <f>369061+675155+1825767</f>
        <v>2869983</v>
      </c>
      <c r="D12" s="215">
        <f>SUM(D13:D25)-D43-D44</f>
        <v>1367322.7954070005</v>
      </c>
      <c r="E12" s="296">
        <f t="shared" si="0"/>
        <v>47.642191448764692</v>
      </c>
      <c r="F12" s="44"/>
      <c r="G12" s="111"/>
      <c r="H12" s="45"/>
      <c r="K12" s="45"/>
    </row>
    <row r="13" spans="1:11" s="16" customFormat="1" x14ac:dyDescent="0.25">
      <c r="A13" s="125" t="s">
        <v>78</v>
      </c>
      <c r="B13" s="33" t="s">
        <v>67</v>
      </c>
      <c r="C13" s="230">
        <v>80971.294999999998</v>
      </c>
      <c r="D13" s="230">
        <v>91708.944604000004</v>
      </c>
      <c r="E13" s="296"/>
      <c r="F13" s="44"/>
      <c r="G13" s="111"/>
      <c r="H13" s="45"/>
      <c r="K13" s="45"/>
    </row>
    <row r="14" spans="1:11" s="16" customFormat="1" x14ac:dyDescent="0.25">
      <c r="A14" s="125" t="s">
        <v>79</v>
      </c>
      <c r="B14" s="33" t="s">
        <v>68</v>
      </c>
      <c r="C14" s="230"/>
      <c r="D14" s="230">
        <v>15346.098400000001</v>
      </c>
      <c r="E14" s="296">
        <f t="shared" si="0"/>
        <v>0</v>
      </c>
      <c r="F14" s="44"/>
      <c r="K14" s="45"/>
    </row>
    <row r="15" spans="1:11" s="16" customFormat="1" x14ac:dyDescent="0.25">
      <c r="A15" s="125" t="s">
        <v>80</v>
      </c>
      <c r="B15" s="33" t="s">
        <v>81</v>
      </c>
      <c r="C15" s="230">
        <v>233785</v>
      </c>
      <c r="D15" s="230">
        <v>85914.657351000002</v>
      </c>
      <c r="E15" s="296">
        <f t="shared" si="0"/>
        <v>36.749431037491718</v>
      </c>
      <c r="F15" s="44"/>
      <c r="H15" s="46"/>
      <c r="I15" s="46"/>
      <c r="K15" s="45"/>
    </row>
    <row r="16" spans="1:11" s="16" customFormat="1" x14ac:dyDescent="0.25">
      <c r="A16" s="125" t="s">
        <v>82</v>
      </c>
      <c r="B16" s="33" t="s">
        <v>83</v>
      </c>
      <c r="C16" s="230">
        <v>32330.407999999999</v>
      </c>
      <c r="D16" s="290">
        <v>3846.541569</v>
      </c>
      <c r="E16" s="296">
        <f t="shared" si="0"/>
        <v>11.897596742360939</v>
      </c>
      <c r="F16" s="44"/>
    </row>
    <row r="17" spans="1:8" s="16" customFormat="1" x14ac:dyDescent="0.25">
      <c r="A17" s="125" t="s">
        <v>84</v>
      </c>
      <c r="B17" s="33" t="s">
        <v>85</v>
      </c>
      <c r="C17" s="230">
        <v>5000</v>
      </c>
      <c r="D17" s="230">
        <v>9082.375</v>
      </c>
      <c r="E17" s="296">
        <f t="shared" si="0"/>
        <v>181.64750000000001</v>
      </c>
      <c r="F17" s="44"/>
      <c r="H17" s="45"/>
    </row>
    <row r="18" spans="1:8" s="16" customFormat="1" x14ac:dyDescent="0.25">
      <c r="A18" s="125" t="s">
        <v>86</v>
      </c>
      <c r="B18" s="33" t="s">
        <v>87</v>
      </c>
      <c r="C18" s="230">
        <v>14060.856</v>
      </c>
      <c r="D18" s="230">
        <v>26947.810576</v>
      </c>
      <c r="E18" s="296">
        <f t="shared" si="0"/>
        <v>191.65128051947903</v>
      </c>
      <c r="F18" s="44"/>
    </row>
    <row r="19" spans="1:8" s="16" customFormat="1" x14ac:dyDescent="0.25">
      <c r="A19" s="125" t="s">
        <v>88</v>
      </c>
      <c r="B19" s="33" t="s">
        <v>89</v>
      </c>
      <c r="C19" s="230"/>
      <c r="D19" s="230">
        <v>0</v>
      </c>
      <c r="E19" s="296">
        <f t="shared" si="0"/>
        <v>0</v>
      </c>
      <c r="F19" s="44"/>
    </row>
    <row r="20" spans="1:8" s="16" customFormat="1" x14ac:dyDescent="0.25">
      <c r="A20" s="125" t="s">
        <v>90</v>
      </c>
      <c r="B20" s="33" t="s">
        <v>91</v>
      </c>
      <c r="C20" s="230">
        <v>1776340.4410000001</v>
      </c>
      <c r="D20" s="230">
        <v>1016321.862117</v>
      </c>
      <c r="E20" s="296">
        <f t="shared" si="0"/>
        <v>57.214362667150468</v>
      </c>
      <c r="F20" s="44"/>
    </row>
    <row r="21" spans="1:8" s="16" customFormat="1" x14ac:dyDescent="0.25">
      <c r="A21" s="125" t="s">
        <v>92</v>
      </c>
      <c r="B21" s="33" t="s">
        <v>93</v>
      </c>
      <c r="C21" s="230">
        <v>112783</v>
      </c>
      <c r="D21" s="230">
        <v>219913.671512</v>
      </c>
      <c r="E21" s="296">
        <f t="shared" si="0"/>
        <v>194.98831518225265</v>
      </c>
      <c r="F21" s="44"/>
      <c r="G21" s="45"/>
    </row>
    <row r="22" spans="1:8" s="16" customFormat="1" x14ac:dyDescent="0.25">
      <c r="A22" s="125" t="s">
        <v>94</v>
      </c>
      <c r="B22" s="33" t="s">
        <v>95</v>
      </c>
      <c r="C22" s="230"/>
      <c r="D22" s="230">
        <v>271.77199999999999</v>
      </c>
      <c r="E22" s="296">
        <f t="shared" si="0"/>
        <v>0</v>
      </c>
      <c r="F22" s="44"/>
      <c r="G22" s="45"/>
    </row>
    <row r="23" spans="1:8" s="16" customFormat="1" x14ac:dyDescent="0.25">
      <c r="A23" s="125" t="s">
        <v>502</v>
      </c>
      <c r="B23" s="33" t="s">
        <v>71</v>
      </c>
      <c r="C23" s="230">
        <v>19040</v>
      </c>
      <c r="D23" s="230">
        <v>19580.331565</v>
      </c>
      <c r="E23" s="296">
        <f t="shared" si="0"/>
        <v>102.83787586659665</v>
      </c>
      <c r="F23" s="44"/>
    </row>
    <row r="24" spans="1:8" s="16" customFormat="1" hidden="1" x14ac:dyDescent="0.25">
      <c r="A24" s="125" t="s">
        <v>504</v>
      </c>
      <c r="B24" s="33"/>
      <c r="C24" s="230"/>
      <c r="D24" s="230"/>
      <c r="E24" s="296">
        <f t="shared" si="0"/>
        <v>0</v>
      </c>
      <c r="F24" s="44"/>
      <c r="H24" s="45"/>
    </row>
    <row r="25" spans="1:8" s="36" customFormat="1" hidden="1" x14ac:dyDescent="0.25">
      <c r="A25" s="125" t="s">
        <v>646</v>
      </c>
      <c r="B25" s="33"/>
      <c r="C25" s="230"/>
      <c r="D25" s="230"/>
      <c r="E25" s="297">
        <f t="shared" si="0"/>
        <v>0</v>
      </c>
      <c r="F25" s="44"/>
    </row>
    <row r="26" spans="1:8" s="36" customFormat="1" ht="63" x14ac:dyDescent="0.25">
      <c r="A26" s="85">
        <v>2</v>
      </c>
      <c r="B26" s="86" t="s">
        <v>202</v>
      </c>
      <c r="C26" s="215"/>
      <c r="D26" s="215">
        <v>5457</v>
      </c>
      <c r="E26" s="294">
        <f t="shared" si="0"/>
        <v>0</v>
      </c>
      <c r="F26" s="44"/>
    </row>
    <row r="27" spans="1:8" s="36" customFormat="1" x14ac:dyDescent="0.25">
      <c r="A27" s="85">
        <v>3</v>
      </c>
      <c r="B27" s="86" t="s">
        <v>71</v>
      </c>
      <c r="C27" s="215">
        <v>0</v>
      </c>
      <c r="D27" s="215"/>
      <c r="E27" s="294"/>
      <c r="F27" s="44"/>
    </row>
    <row r="28" spans="1:8" s="16" customFormat="1" x14ac:dyDescent="0.25">
      <c r="A28" s="85" t="s">
        <v>25</v>
      </c>
      <c r="B28" s="86" t="s">
        <v>22</v>
      </c>
      <c r="C28" s="215">
        <f>SUM(C29:C39)</f>
        <v>2392613.2599999998</v>
      </c>
      <c r="D28" s="215">
        <f>SUM(D29:D39)</f>
        <v>1956062.0657650002</v>
      </c>
      <c r="E28" s="297">
        <f t="shared" si="0"/>
        <v>81.754209861939842</v>
      </c>
      <c r="F28" s="44"/>
    </row>
    <row r="29" spans="1:8" s="16" customFormat="1" x14ac:dyDescent="0.25">
      <c r="A29" s="125">
        <v>1</v>
      </c>
      <c r="B29" s="33" t="s">
        <v>67</v>
      </c>
      <c r="C29" s="230">
        <v>565392</v>
      </c>
      <c r="D29" s="230">
        <v>478435.985361</v>
      </c>
      <c r="E29" s="297">
        <f t="shared" si="0"/>
        <v>84.620225500360817</v>
      </c>
      <c r="F29" s="44"/>
    </row>
    <row r="30" spans="1:8" s="16" customFormat="1" x14ac:dyDescent="0.25">
      <c r="A30" s="125">
        <v>2</v>
      </c>
      <c r="B30" s="33" t="s">
        <v>505</v>
      </c>
      <c r="C30" s="230">
        <v>14929</v>
      </c>
      <c r="D30" s="230">
        <v>8667.0846550000006</v>
      </c>
      <c r="E30" s="297">
        <f t="shared" si="0"/>
        <v>58.055359736084135</v>
      </c>
      <c r="F30" s="44"/>
    </row>
    <row r="31" spans="1:8" s="16" customFormat="1" x14ac:dyDescent="0.25">
      <c r="A31" s="125">
        <v>3</v>
      </c>
      <c r="B31" s="33" t="s">
        <v>81</v>
      </c>
      <c r="C31" s="230">
        <v>547739</v>
      </c>
      <c r="D31" s="230">
        <v>525639.79331400001</v>
      </c>
      <c r="E31" s="297">
        <f t="shared" si="0"/>
        <v>95.96537645009758</v>
      </c>
      <c r="F31" s="44"/>
    </row>
    <row r="32" spans="1:8" s="16" customFormat="1" x14ac:dyDescent="0.25">
      <c r="A32" s="125">
        <v>4</v>
      </c>
      <c r="B32" s="33" t="s">
        <v>83</v>
      </c>
      <c r="C32" s="230">
        <v>74604</v>
      </c>
      <c r="D32" s="230">
        <v>67443.828217000002</v>
      </c>
      <c r="E32" s="297">
        <f t="shared" si="0"/>
        <v>90.402429115060855</v>
      </c>
      <c r="F32" s="44"/>
    </row>
    <row r="33" spans="1:6" s="16" customFormat="1" x14ac:dyDescent="0.25">
      <c r="A33" s="125">
        <v>5</v>
      </c>
      <c r="B33" s="33" t="s">
        <v>85</v>
      </c>
      <c r="C33" s="230">
        <v>18381</v>
      </c>
      <c r="D33" s="230">
        <v>18014.706559999999</v>
      </c>
      <c r="E33" s="297">
        <f t="shared" si="0"/>
        <v>98.007217017572486</v>
      </c>
      <c r="F33" s="44"/>
    </row>
    <row r="34" spans="1:6" s="16" customFormat="1" x14ac:dyDescent="0.25">
      <c r="A34" s="125">
        <v>6</v>
      </c>
      <c r="B34" s="33" t="s">
        <v>87</v>
      </c>
      <c r="C34" s="230">
        <v>14290</v>
      </c>
      <c r="D34" s="230">
        <v>14367.016589999999</v>
      </c>
      <c r="E34" s="297">
        <f t="shared" si="0"/>
        <v>100.5389544436669</v>
      </c>
      <c r="F34" s="44"/>
    </row>
    <row r="35" spans="1:6" s="16" customFormat="1" x14ac:dyDescent="0.25">
      <c r="A35" s="125">
        <v>7</v>
      </c>
      <c r="B35" s="33" t="s">
        <v>89</v>
      </c>
      <c r="C35" s="230">
        <v>12646</v>
      </c>
      <c r="D35" s="230">
        <v>3583.2169090000002</v>
      </c>
      <c r="E35" s="297">
        <f t="shared" si="0"/>
        <v>28.334784983393963</v>
      </c>
      <c r="F35" s="44"/>
    </row>
    <row r="36" spans="1:6" s="16" customFormat="1" x14ac:dyDescent="0.25">
      <c r="A36" s="125">
        <v>8</v>
      </c>
      <c r="B36" s="33" t="s">
        <v>91</v>
      </c>
      <c r="C36" s="230">
        <v>659090.4</v>
      </c>
      <c r="D36" s="230">
        <v>358917.67556300003</v>
      </c>
      <c r="E36" s="297">
        <f t="shared" si="0"/>
        <v>54.456516975971738</v>
      </c>
      <c r="F36" s="44"/>
    </row>
    <row r="37" spans="1:6" s="36" customFormat="1" ht="15.75" customHeight="1" x14ac:dyDescent="0.25">
      <c r="A37" s="125">
        <v>9</v>
      </c>
      <c r="B37" s="33" t="s">
        <v>93</v>
      </c>
      <c r="C37" s="230">
        <v>357001</v>
      </c>
      <c r="D37" s="230">
        <v>355271.10638299998</v>
      </c>
      <c r="E37" s="297">
        <f t="shared" si="0"/>
        <v>99.515437318943071</v>
      </c>
      <c r="F37" s="44"/>
    </row>
    <row r="38" spans="1:6" s="36" customFormat="1" x14ac:dyDescent="0.25">
      <c r="A38" s="125">
        <v>10</v>
      </c>
      <c r="B38" s="33" t="s">
        <v>95</v>
      </c>
      <c r="C38" s="230">
        <v>87640</v>
      </c>
      <c r="D38" s="230">
        <v>21779.118234000001</v>
      </c>
      <c r="E38" s="294">
        <f t="shared" si="0"/>
        <v>24.850659783204019</v>
      </c>
      <c r="F38" s="44"/>
    </row>
    <row r="39" spans="1:6" s="36" customFormat="1" x14ac:dyDescent="0.25">
      <c r="A39" s="125">
        <v>11</v>
      </c>
      <c r="B39" s="33" t="s">
        <v>506</v>
      </c>
      <c r="C39" s="230">
        <v>40900.86</v>
      </c>
      <c r="D39" s="230">
        <v>103942.533979</v>
      </c>
      <c r="E39" s="294">
        <f t="shared" si="0"/>
        <v>254.1328812621544</v>
      </c>
      <c r="F39" s="44"/>
    </row>
    <row r="40" spans="1:6" s="36" customFormat="1" ht="16.5" customHeight="1" x14ac:dyDescent="0.25">
      <c r="A40" s="85" t="s">
        <v>29</v>
      </c>
      <c r="B40" s="86" t="s">
        <v>636</v>
      </c>
      <c r="C40" s="215">
        <v>2200</v>
      </c>
      <c r="D40" s="215">
        <v>1649.2660000000001</v>
      </c>
      <c r="E40" s="294">
        <f t="shared" si="0"/>
        <v>74.966636363636368</v>
      </c>
      <c r="F40" s="44"/>
    </row>
    <row r="41" spans="1:6" x14ac:dyDescent="0.25">
      <c r="A41" s="85" t="s">
        <v>56</v>
      </c>
      <c r="B41" s="86" t="s">
        <v>23</v>
      </c>
      <c r="C41" s="215">
        <v>1000</v>
      </c>
      <c r="D41" s="215">
        <v>1000</v>
      </c>
      <c r="E41" s="294">
        <f t="shared" si="0"/>
        <v>100</v>
      </c>
      <c r="F41" s="44"/>
    </row>
    <row r="42" spans="1:6" x14ac:dyDescent="0.25">
      <c r="A42" s="85" t="s">
        <v>73</v>
      </c>
      <c r="B42" s="86" t="s">
        <v>24</v>
      </c>
      <c r="C42" s="215">
        <v>74046.002868228534</v>
      </c>
      <c r="D42" s="215"/>
      <c r="E42" s="294">
        <f t="shared" si="0"/>
        <v>0</v>
      </c>
      <c r="F42" s="44"/>
    </row>
    <row r="43" spans="1:6" x14ac:dyDescent="0.25">
      <c r="A43" s="85" t="s">
        <v>74</v>
      </c>
      <c r="B43" s="86" t="s">
        <v>243</v>
      </c>
      <c r="C43" s="215">
        <v>77200</v>
      </c>
      <c r="D43" s="215">
        <v>12206.46313</v>
      </c>
      <c r="E43" s="294">
        <f t="shared" si="0"/>
        <v>15.811480738341968</v>
      </c>
      <c r="F43" s="44"/>
    </row>
    <row r="44" spans="1:6" ht="78.75" x14ac:dyDescent="0.25">
      <c r="A44" s="85" t="s">
        <v>383</v>
      </c>
      <c r="B44" s="86" t="s">
        <v>436</v>
      </c>
      <c r="C44" s="215">
        <v>1178860</v>
      </c>
      <c r="D44" s="215">
        <v>109404.806157</v>
      </c>
      <c r="E44" s="227">
        <f t="shared" si="0"/>
        <v>9.2805597065809327</v>
      </c>
      <c r="F44" s="44"/>
    </row>
    <row r="45" spans="1:6" x14ac:dyDescent="0.25">
      <c r="A45" s="85" t="s">
        <v>384</v>
      </c>
      <c r="B45" s="86" t="s">
        <v>629</v>
      </c>
      <c r="C45" s="215"/>
      <c r="D45" s="215">
        <v>8583.1678499999998</v>
      </c>
      <c r="E45" s="292">
        <f t="shared" si="0"/>
        <v>0</v>
      </c>
    </row>
    <row r="46" spans="1:6" x14ac:dyDescent="0.25">
      <c r="A46" s="85" t="s">
        <v>509</v>
      </c>
      <c r="B46" s="86" t="s">
        <v>437</v>
      </c>
      <c r="C46" s="215"/>
      <c r="D46" s="215">
        <v>23104</v>
      </c>
      <c r="E46" s="292">
        <f t="shared" si="0"/>
        <v>0</v>
      </c>
    </row>
    <row r="47" spans="1:6" x14ac:dyDescent="0.25">
      <c r="A47" s="85" t="s">
        <v>31</v>
      </c>
      <c r="B47" s="86" t="s">
        <v>76</v>
      </c>
      <c r="C47" s="215"/>
      <c r="D47" s="215">
        <v>2859544.5055379998</v>
      </c>
      <c r="E47" s="292">
        <f t="shared" si="0"/>
        <v>0</v>
      </c>
    </row>
    <row r="48" spans="1:6" x14ac:dyDescent="0.25">
      <c r="A48" s="91" t="s">
        <v>32</v>
      </c>
      <c r="B48" s="92" t="s">
        <v>226</v>
      </c>
      <c r="C48" s="291"/>
      <c r="D48" s="291">
        <v>122849.305433</v>
      </c>
      <c r="E48" s="298">
        <f t="shared" si="0"/>
        <v>0</v>
      </c>
    </row>
  </sheetData>
  <mergeCells count="2">
    <mergeCell ref="A3:E3"/>
    <mergeCell ref="A4:E4"/>
  </mergeCells>
  <dataValidations count="3">
    <dataValidation allowBlank="1" showInputMessage="1" showErrorMessage="1" prompt="Chưa bao gồm bổ sung mục tiêu NS cấp dưới" sqref="D8" xr:uid="{C56EF8B6-3EE3-4EE5-B2BF-568FB8E80B5E}"/>
    <dataValidation allowBlank="1" showInputMessage="1" showErrorMessage="1" prompt="Chưa bao gồm dự toán bổ sung mục tiêu 247.854 triệu đồng" sqref="C8" xr:uid="{DEA3C6D7-7F98-4749-941C-F1F32A9B4391}"/>
    <dataValidation allowBlank="1" showInputMessage="1" showErrorMessage="1" prompt="Chưa bao gồm CTMTQG" sqref="C13" xr:uid="{042F9EDF-2E2D-4D9E-BF93-B215F28DE53D}"/>
  </dataValidations>
  <printOptions horizontalCentered="1"/>
  <pageMargins left="0" right="0" top="0.75" bottom="0.5" header="0.3" footer="0.3"/>
  <pageSetup paperSize="9" scale="91"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L116"/>
  <sheetViews>
    <sheetView zoomScale="70" zoomScaleNormal="70" workbookViewId="0">
      <pane xSplit="2" ySplit="10" topLeftCell="C23" activePane="bottomRight" state="frozen"/>
      <selection pane="topRight" activeCell="C1" sqref="C1"/>
      <selection pane="bottomLeft" activeCell="A10" sqref="A10"/>
      <selection pane="bottomRight" activeCell="A4" sqref="A4:AE4"/>
    </sheetView>
  </sheetViews>
  <sheetFormatPr defaultColWidth="9.140625" defaultRowHeight="15.75" outlineLevelRow="1" outlineLevelCol="1" x14ac:dyDescent="0.25"/>
  <cols>
    <col min="1" max="1" width="6.42578125" style="9" customWidth="1"/>
    <col min="2" max="2" width="45.140625" style="9" customWidth="1"/>
    <col min="3" max="3" width="14.5703125" style="9" bestFit="1" customWidth="1"/>
    <col min="4" max="5" width="12.42578125" style="9" bestFit="1" customWidth="1"/>
    <col min="6" max="8" width="17.140625" style="9" hidden="1" customWidth="1" outlineLevel="1"/>
    <col min="9" max="9" width="13.42578125" style="9" customWidth="1" collapsed="1"/>
    <col min="10" max="10" width="18.7109375" style="9" customWidth="1"/>
    <col min="11" max="11" width="13.85546875" style="9" customWidth="1"/>
    <col min="12" max="12" width="11.85546875" style="9" customWidth="1"/>
    <col min="13" max="13" width="10.42578125" style="9" customWidth="1"/>
    <col min="14" max="14" width="14" style="9" customWidth="1"/>
    <col min="15" max="15" width="12.42578125" style="9" customWidth="1"/>
    <col min="16" max="16" width="12.85546875" style="9" customWidth="1"/>
    <col min="17" max="17" width="18.85546875" style="9" hidden="1" customWidth="1" outlineLevel="1"/>
    <col min="18" max="18" width="18.42578125" style="9" hidden="1" customWidth="1" outlineLevel="1"/>
    <col min="19" max="19" width="11.85546875" style="9" customWidth="1" collapsed="1"/>
    <col min="20" max="20" width="20.5703125" style="9" customWidth="1"/>
    <col min="21" max="21" width="13" style="9" customWidth="1"/>
    <col min="22" max="22" width="12.42578125" style="9" customWidth="1"/>
    <col min="23" max="23" width="11.140625" style="9" customWidth="1"/>
    <col min="24" max="24" width="15.42578125" style="9" customWidth="1"/>
    <col min="25" max="25" width="13.5703125" style="9" hidden="1" customWidth="1" outlineLevel="1"/>
    <col min="26" max="26" width="11.5703125" style="9" hidden="1" customWidth="1" outlineLevel="1"/>
    <col min="27" max="27" width="12.42578125" style="9" customWidth="1" collapsed="1"/>
    <col min="28" max="28" width="9.42578125" style="9" customWidth="1"/>
    <col min="29" max="29" width="10.5703125" style="9" customWidth="1"/>
    <col min="30" max="30" width="9.5703125" style="9" customWidth="1"/>
    <col min="31" max="31" width="11.42578125" style="9" customWidth="1"/>
    <col min="32" max="32" width="9.140625" style="96"/>
    <col min="33" max="33" width="12.5703125" style="9" bestFit="1" customWidth="1"/>
    <col min="34" max="34" width="20.140625" style="9" bestFit="1" customWidth="1"/>
    <col min="35" max="256" width="9.140625" style="9"/>
    <col min="257" max="257" width="5.42578125" style="9" customWidth="1"/>
    <col min="258" max="258" width="45.140625" style="9" customWidth="1"/>
    <col min="259" max="259" width="15.140625" style="9" customWidth="1"/>
    <col min="260" max="260" width="16.42578125" style="9" customWidth="1"/>
    <col min="261" max="261" width="17.140625" style="9" customWidth="1"/>
    <col min="262" max="264" width="0" style="9" hidden="1" customWidth="1"/>
    <col min="265" max="266" width="15.85546875" style="9" customWidth="1"/>
    <col min="267" max="267" width="11.140625" style="9" customWidth="1"/>
    <col min="268" max="268" width="11.85546875" style="9" customWidth="1"/>
    <col min="269" max="269" width="10.42578125" style="9" customWidth="1"/>
    <col min="270" max="270" width="16.42578125" style="9" customWidth="1"/>
    <col min="271" max="271" width="14.140625" style="9" customWidth="1"/>
    <col min="272" max="272" width="15.85546875" style="9" customWidth="1"/>
    <col min="273" max="274" width="0" style="9" hidden="1" customWidth="1"/>
    <col min="275" max="275" width="11.85546875" style="9" customWidth="1"/>
    <col min="276" max="276" width="15.85546875" style="9" customWidth="1"/>
    <col min="277" max="277" width="15.42578125" style="9" customWidth="1"/>
    <col min="278" max="278" width="12.42578125" style="9" customWidth="1"/>
    <col min="279" max="279" width="11.140625" style="9" customWidth="1"/>
    <col min="280" max="280" width="15.42578125" style="9" customWidth="1"/>
    <col min="281" max="282" width="0" style="9" hidden="1" customWidth="1"/>
    <col min="283" max="283" width="15" style="9" customWidth="1"/>
    <col min="284" max="284" width="9.42578125" style="9" customWidth="1"/>
    <col min="285" max="285" width="10.5703125" style="9" customWidth="1"/>
    <col min="286" max="286" width="9.5703125" style="9" customWidth="1"/>
    <col min="287" max="287" width="11.42578125" style="9" customWidth="1"/>
    <col min="288" max="288" width="9.140625" style="9"/>
    <col min="289" max="289" width="12.5703125" style="9" bestFit="1" customWidth="1"/>
    <col min="290" max="290" width="20.140625" style="9" bestFit="1" customWidth="1"/>
    <col min="291" max="512" width="9.140625" style="9"/>
    <col min="513" max="513" width="5.42578125" style="9" customWidth="1"/>
    <col min="514" max="514" width="45.140625" style="9" customWidth="1"/>
    <col min="515" max="515" width="15.140625" style="9" customWidth="1"/>
    <col min="516" max="516" width="16.42578125" style="9" customWidth="1"/>
    <col min="517" max="517" width="17.140625" style="9" customWidth="1"/>
    <col min="518" max="520" width="0" style="9" hidden="1" customWidth="1"/>
    <col min="521" max="522" width="15.85546875" style="9" customWidth="1"/>
    <col min="523" max="523" width="11.140625" style="9" customWidth="1"/>
    <col min="524" max="524" width="11.85546875" style="9" customWidth="1"/>
    <col min="525" max="525" width="10.42578125" style="9" customWidth="1"/>
    <col min="526" max="526" width="16.42578125" style="9" customWidth="1"/>
    <col min="527" max="527" width="14.140625" style="9" customWidth="1"/>
    <col min="528" max="528" width="15.85546875" style="9" customWidth="1"/>
    <col min="529" max="530" width="0" style="9" hidden="1" customWidth="1"/>
    <col min="531" max="531" width="11.85546875" style="9" customWidth="1"/>
    <col min="532" max="532" width="15.85546875" style="9" customWidth="1"/>
    <col min="533" max="533" width="15.42578125" style="9" customWidth="1"/>
    <col min="534" max="534" width="12.42578125" style="9" customWidth="1"/>
    <col min="535" max="535" width="11.140625" style="9" customWidth="1"/>
    <col min="536" max="536" width="15.42578125" style="9" customWidth="1"/>
    <col min="537" max="538" width="0" style="9" hidden="1" customWidth="1"/>
    <col min="539" max="539" width="15" style="9" customWidth="1"/>
    <col min="540" max="540" width="9.42578125" style="9" customWidth="1"/>
    <col min="541" max="541" width="10.5703125" style="9" customWidth="1"/>
    <col min="542" max="542" width="9.5703125" style="9" customWidth="1"/>
    <col min="543" max="543" width="11.42578125" style="9" customWidth="1"/>
    <col min="544" max="544" width="9.140625" style="9"/>
    <col min="545" max="545" width="12.5703125" style="9" bestFit="1" customWidth="1"/>
    <col min="546" max="546" width="20.140625" style="9" bestFit="1" customWidth="1"/>
    <col min="547" max="768" width="9.140625" style="9"/>
    <col min="769" max="769" width="5.42578125" style="9" customWidth="1"/>
    <col min="770" max="770" width="45.140625" style="9" customWidth="1"/>
    <col min="771" max="771" width="15.140625" style="9" customWidth="1"/>
    <col min="772" max="772" width="16.42578125" style="9" customWidth="1"/>
    <col min="773" max="773" width="17.140625" style="9" customWidth="1"/>
    <col min="774" max="776" width="0" style="9" hidden="1" customWidth="1"/>
    <col min="777" max="778" width="15.85546875" style="9" customWidth="1"/>
    <col min="779" max="779" width="11.140625" style="9" customWidth="1"/>
    <col min="780" max="780" width="11.85546875" style="9" customWidth="1"/>
    <col min="781" max="781" width="10.42578125" style="9" customWidth="1"/>
    <col min="782" max="782" width="16.42578125" style="9" customWidth="1"/>
    <col min="783" max="783" width="14.140625" style="9" customWidth="1"/>
    <col min="784" max="784" width="15.85546875" style="9" customWidth="1"/>
    <col min="785" max="786" width="0" style="9" hidden="1" customWidth="1"/>
    <col min="787" max="787" width="11.85546875" style="9" customWidth="1"/>
    <col min="788" max="788" width="15.85546875" style="9" customWidth="1"/>
    <col min="789" max="789" width="15.42578125" style="9" customWidth="1"/>
    <col min="790" max="790" width="12.42578125" style="9" customWidth="1"/>
    <col min="791" max="791" width="11.140625" style="9" customWidth="1"/>
    <col min="792" max="792" width="15.42578125" style="9" customWidth="1"/>
    <col min="793" max="794" width="0" style="9" hidden="1" customWidth="1"/>
    <col min="795" max="795" width="15" style="9" customWidth="1"/>
    <col min="796" max="796" width="9.42578125" style="9" customWidth="1"/>
    <col min="797" max="797" width="10.5703125" style="9" customWidth="1"/>
    <col min="798" max="798" width="9.5703125" style="9" customWidth="1"/>
    <col min="799" max="799" width="11.42578125" style="9" customWidth="1"/>
    <col min="800" max="800" width="9.140625" style="9"/>
    <col min="801" max="801" width="12.5703125" style="9" bestFit="1" customWidth="1"/>
    <col min="802" max="802" width="20.140625" style="9" bestFit="1" customWidth="1"/>
    <col min="803" max="1024" width="9.140625" style="9"/>
    <col min="1025" max="1025" width="5.42578125" style="9" customWidth="1"/>
    <col min="1026" max="1026" width="45.140625" style="9" customWidth="1"/>
    <col min="1027" max="1027" width="15.140625" style="9" customWidth="1"/>
    <col min="1028" max="1028" width="16.42578125" style="9" customWidth="1"/>
    <col min="1029" max="1029" width="17.140625" style="9" customWidth="1"/>
    <col min="1030" max="1032" width="0" style="9" hidden="1" customWidth="1"/>
    <col min="1033" max="1034" width="15.85546875" style="9" customWidth="1"/>
    <col min="1035" max="1035" width="11.140625" style="9" customWidth="1"/>
    <col min="1036" max="1036" width="11.85546875" style="9" customWidth="1"/>
    <col min="1037" max="1037" width="10.42578125" style="9" customWidth="1"/>
    <col min="1038" max="1038" width="16.42578125" style="9" customWidth="1"/>
    <col min="1039" max="1039" width="14.140625" style="9" customWidth="1"/>
    <col min="1040" max="1040" width="15.85546875" style="9" customWidth="1"/>
    <col min="1041" max="1042" width="0" style="9" hidden="1" customWidth="1"/>
    <col min="1043" max="1043" width="11.85546875" style="9" customWidth="1"/>
    <col min="1044" max="1044" width="15.85546875" style="9" customWidth="1"/>
    <col min="1045" max="1045" width="15.42578125" style="9" customWidth="1"/>
    <col min="1046" max="1046" width="12.42578125" style="9" customWidth="1"/>
    <col min="1047" max="1047" width="11.140625" style="9" customWidth="1"/>
    <col min="1048" max="1048" width="15.42578125" style="9" customWidth="1"/>
    <col min="1049" max="1050" width="0" style="9" hidden="1" customWidth="1"/>
    <col min="1051" max="1051" width="15" style="9" customWidth="1"/>
    <col min="1052" max="1052" width="9.42578125" style="9" customWidth="1"/>
    <col min="1053" max="1053" width="10.5703125" style="9" customWidth="1"/>
    <col min="1054" max="1054" width="9.5703125" style="9" customWidth="1"/>
    <col min="1055" max="1055" width="11.42578125" style="9" customWidth="1"/>
    <col min="1056" max="1056" width="9.140625" style="9"/>
    <col min="1057" max="1057" width="12.5703125" style="9" bestFit="1" customWidth="1"/>
    <col min="1058" max="1058" width="20.140625" style="9" bestFit="1" customWidth="1"/>
    <col min="1059" max="1280" width="9.140625" style="9"/>
    <col min="1281" max="1281" width="5.42578125" style="9" customWidth="1"/>
    <col min="1282" max="1282" width="45.140625" style="9" customWidth="1"/>
    <col min="1283" max="1283" width="15.140625" style="9" customWidth="1"/>
    <col min="1284" max="1284" width="16.42578125" style="9" customWidth="1"/>
    <col min="1285" max="1285" width="17.140625" style="9" customWidth="1"/>
    <col min="1286" max="1288" width="0" style="9" hidden="1" customWidth="1"/>
    <col min="1289" max="1290" width="15.85546875" style="9" customWidth="1"/>
    <col min="1291" max="1291" width="11.140625" style="9" customWidth="1"/>
    <col min="1292" max="1292" width="11.85546875" style="9" customWidth="1"/>
    <col min="1293" max="1293" width="10.42578125" style="9" customWidth="1"/>
    <col min="1294" max="1294" width="16.42578125" style="9" customWidth="1"/>
    <col min="1295" max="1295" width="14.140625" style="9" customWidth="1"/>
    <col min="1296" max="1296" width="15.85546875" style="9" customWidth="1"/>
    <col min="1297" max="1298" width="0" style="9" hidden="1" customWidth="1"/>
    <col min="1299" max="1299" width="11.85546875" style="9" customWidth="1"/>
    <col min="1300" max="1300" width="15.85546875" style="9" customWidth="1"/>
    <col min="1301" max="1301" width="15.42578125" style="9" customWidth="1"/>
    <col min="1302" max="1302" width="12.42578125" style="9" customWidth="1"/>
    <col min="1303" max="1303" width="11.140625" style="9" customWidth="1"/>
    <col min="1304" max="1304" width="15.42578125" style="9" customWidth="1"/>
    <col min="1305" max="1306" width="0" style="9" hidden="1" customWidth="1"/>
    <col min="1307" max="1307" width="15" style="9" customWidth="1"/>
    <col min="1308" max="1308" width="9.42578125" style="9" customWidth="1"/>
    <col min="1309" max="1309" width="10.5703125" style="9" customWidth="1"/>
    <col min="1310" max="1310" width="9.5703125" style="9" customWidth="1"/>
    <col min="1311" max="1311" width="11.42578125" style="9" customWidth="1"/>
    <col min="1312" max="1312" width="9.140625" style="9"/>
    <col min="1313" max="1313" width="12.5703125" style="9" bestFit="1" customWidth="1"/>
    <col min="1314" max="1314" width="20.140625" style="9" bestFit="1" customWidth="1"/>
    <col min="1315" max="1536" width="9.140625" style="9"/>
    <col min="1537" max="1537" width="5.42578125" style="9" customWidth="1"/>
    <col min="1538" max="1538" width="45.140625" style="9" customWidth="1"/>
    <col min="1539" max="1539" width="15.140625" style="9" customWidth="1"/>
    <col min="1540" max="1540" width="16.42578125" style="9" customWidth="1"/>
    <col min="1541" max="1541" width="17.140625" style="9" customWidth="1"/>
    <col min="1542" max="1544" width="0" style="9" hidden="1" customWidth="1"/>
    <col min="1545" max="1546" width="15.85546875" style="9" customWidth="1"/>
    <col min="1547" max="1547" width="11.140625" style="9" customWidth="1"/>
    <col min="1548" max="1548" width="11.85546875" style="9" customWidth="1"/>
    <col min="1549" max="1549" width="10.42578125" style="9" customWidth="1"/>
    <col min="1550" max="1550" width="16.42578125" style="9" customWidth="1"/>
    <col min="1551" max="1551" width="14.140625" style="9" customWidth="1"/>
    <col min="1552" max="1552" width="15.85546875" style="9" customWidth="1"/>
    <col min="1553" max="1554" width="0" style="9" hidden="1" customWidth="1"/>
    <col min="1555" max="1555" width="11.85546875" style="9" customWidth="1"/>
    <col min="1556" max="1556" width="15.85546875" style="9" customWidth="1"/>
    <col min="1557" max="1557" width="15.42578125" style="9" customWidth="1"/>
    <col min="1558" max="1558" width="12.42578125" style="9" customWidth="1"/>
    <col min="1559" max="1559" width="11.140625" style="9" customWidth="1"/>
    <col min="1560" max="1560" width="15.42578125" style="9" customWidth="1"/>
    <col min="1561" max="1562" width="0" style="9" hidden="1" customWidth="1"/>
    <col min="1563" max="1563" width="15" style="9" customWidth="1"/>
    <col min="1564" max="1564" width="9.42578125" style="9" customWidth="1"/>
    <col min="1565" max="1565" width="10.5703125" style="9" customWidth="1"/>
    <col min="1566" max="1566" width="9.5703125" style="9" customWidth="1"/>
    <col min="1567" max="1567" width="11.42578125" style="9" customWidth="1"/>
    <col min="1568" max="1568" width="9.140625" style="9"/>
    <col min="1569" max="1569" width="12.5703125" style="9" bestFit="1" customWidth="1"/>
    <col min="1570" max="1570" width="20.140625" style="9" bestFit="1" customWidth="1"/>
    <col min="1571" max="1792" width="9.140625" style="9"/>
    <col min="1793" max="1793" width="5.42578125" style="9" customWidth="1"/>
    <col min="1794" max="1794" width="45.140625" style="9" customWidth="1"/>
    <col min="1795" max="1795" width="15.140625" style="9" customWidth="1"/>
    <col min="1796" max="1796" width="16.42578125" style="9" customWidth="1"/>
    <col min="1797" max="1797" width="17.140625" style="9" customWidth="1"/>
    <col min="1798" max="1800" width="0" style="9" hidden="1" customWidth="1"/>
    <col min="1801" max="1802" width="15.85546875" style="9" customWidth="1"/>
    <col min="1803" max="1803" width="11.140625" style="9" customWidth="1"/>
    <col min="1804" max="1804" width="11.85546875" style="9" customWidth="1"/>
    <col min="1805" max="1805" width="10.42578125" style="9" customWidth="1"/>
    <col min="1806" max="1806" width="16.42578125" style="9" customWidth="1"/>
    <col min="1807" max="1807" width="14.140625" style="9" customWidth="1"/>
    <col min="1808" max="1808" width="15.85546875" style="9" customWidth="1"/>
    <col min="1809" max="1810" width="0" style="9" hidden="1" customWidth="1"/>
    <col min="1811" max="1811" width="11.85546875" style="9" customWidth="1"/>
    <col min="1812" max="1812" width="15.85546875" style="9" customWidth="1"/>
    <col min="1813" max="1813" width="15.42578125" style="9" customWidth="1"/>
    <col min="1814" max="1814" width="12.42578125" style="9" customWidth="1"/>
    <col min="1815" max="1815" width="11.140625" style="9" customWidth="1"/>
    <col min="1816" max="1816" width="15.42578125" style="9" customWidth="1"/>
    <col min="1817" max="1818" width="0" style="9" hidden="1" customWidth="1"/>
    <col min="1819" max="1819" width="15" style="9" customWidth="1"/>
    <col min="1820" max="1820" width="9.42578125" style="9" customWidth="1"/>
    <col min="1821" max="1821" width="10.5703125" style="9" customWidth="1"/>
    <col min="1822" max="1822" width="9.5703125" style="9" customWidth="1"/>
    <col min="1823" max="1823" width="11.42578125" style="9" customWidth="1"/>
    <col min="1824" max="1824" width="9.140625" style="9"/>
    <col min="1825" max="1825" width="12.5703125" style="9" bestFit="1" customWidth="1"/>
    <col min="1826" max="1826" width="20.140625" style="9" bestFit="1" customWidth="1"/>
    <col min="1827" max="2048" width="9.140625" style="9"/>
    <col min="2049" max="2049" width="5.42578125" style="9" customWidth="1"/>
    <col min="2050" max="2050" width="45.140625" style="9" customWidth="1"/>
    <col min="2051" max="2051" width="15.140625" style="9" customWidth="1"/>
    <col min="2052" max="2052" width="16.42578125" style="9" customWidth="1"/>
    <col min="2053" max="2053" width="17.140625" style="9" customWidth="1"/>
    <col min="2054" max="2056" width="0" style="9" hidden="1" customWidth="1"/>
    <col min="2057" max="2058" width="15.85546875" style="9" customWidth="1"/>
    <col min="2059" max="2059" width="11.140625" style="9" customWidth="1"/>
    <col min="2060" max="2060" width="11.85546875" style="9" customWidth="1"/>
    <col min="2061" max="2061" width="10.42578125" style="9" customWidth="1"/>
    <col min="2062" max="2062" width="16.42578125" style="9" customWidth="1"/>
    <col min="2063" max="2063" width="14.140625" style="9" customWidth="1"/>
    <col min="2064" max="2064" width="15.85546875" style="9" customWidth="1"/>
    <col min="2065" max="2066" width="0" style="9" hidden="1" customWidth="1"/>
    <col min="2067" max="2067" width="11.85546875" style="9" customWidth="1"/>
    <col min="2068" max="2068" width="15.85546875" style="9" customWidth="1"/>
    <col min="2069" max="2069" width="15.42578125" style="9" customWidth="1"/>
    <col min="2070" max="2070" width="12.42578125" style="9" customWidth="1"/>
    <col min="2071" max="2071" width="11.140625" style="9" customWidth="1"/>
    <col min="2072" max="2072" width="15.42578125" style="9" customWidth="1"/>
    <col min="2073" max="2074" width="0" style="9" hidden="1" customWidth="1"/>
    <col min="2075" max="2075" width="15" style="9" customWidth="1"/>
    <col min="2076" max="2076" width="9.42578125" style="9" customWidth="1"/>
    <col min="2077" max="2077" width="10.5703125" style="9" customWidth="1"/>
    <col min="2078" max="2078" width="9.5703125" style="9" customWidth="1"/>
    <col min="2079" max="2079" width="11.42578125" style="9" customWidth="1"/>
    <col min="2080" max="2080" width="9.140625" style="9"/>
    <col min="2081" max="2081" width="12.5703125" style="9" bestFit="1" customWidth="1"/>
    <col min="2082" max="2082" width="20.140625" style="9" bestFit="1" customWidth="1"/>
    <col min="2083" max="2304" width="9.140625" style="9"/>
    <col min="2305" max="2305" width="5.42578125" style="9" customWidth="1"/>
    <col min="2306" max="2306" width="45.140625" style="9" customWidth="1"/>
    <col min="2307" max="2307" width="15.140625" style="9" customWidth="1"/>
    <col min="2308" max="2308" width="16.42578125" style="9" customWidth="1"/>
    <col min="2309" max="2309" width="17.140625" style="9" customWidth="1"/>
    <col min="2310" max="2312" width="0" style="9" hidden="1" customWidth="1"/>
    <col min="2313" max="2314" width="15.85546875" style="9" customWidth="1"/>
    <col min="2315" max="2315" width="11.140625" style="9" customWidth="1"/>
    <col min="2316" max="2316" width="11.85546875" style="9" customWidth="1"/>
    <col min="2317" max="2317" width="10.42578125" style="9" customWidth="1"/>
    <col min="2318" max="2318" width="16.42578125" style="9" customWidth="1"/>
    <col min="2319" max="2319" width="14.140625" style="9" customWidth="1"/>
    <col min="2320" max="2320" width="15.85546875" style="9" customWidth="1"/>
    <col min="2321" max="2322" width="0" style="9" hidden="1" customWidth="1"/>
    <col min="2323" max="2323" width="11.85546875" style="9" customWidth="1"/>
    <col min="2324" max="2324" width="15.85546875" style="9" customWidth="1"/>
    <col min="2325" max="2325" width="15.42578125" style="9" customWidth="1"/>
    <col min="2326" max="2326" width="12.42578125" style="9" customWidth="1"/>
    <col min="2327" max="2327" width="11.140625" style="9" customWidth="1"/>
    <col min="2328" max="2328" width="15.42578125" style="9" customWidth="1"/>
    <col min="2329" max="2330" width="0" style="9" hidden="1" customWidth="1"/>
    <col min="2331" max="2331" width="15" style="9" customWidth="1"/>
    <col min="2332" max="2332" width="9.42578125" style="9" customWidth="1"/>
    <col min="2333" max="2333" width="10.5703125" style="9" customWidth="1"/>
    <col min="2334" max="2334" width="9.5703125" style="9" customWidth="1"/>
    <col min="2335" max="2335" width="11.42578125" style="9" customWidth="1"/>
    <col min="2336" max="2336" width="9.140625" style="9"/>
    <col min="2337" max="2337" width="12.5703125" style="9" bestFit="1" customWidth="1"/>
    <col min="2338" max="2338" width="20.140625" style="9" bestFit="1" customWidth="1"/>
    <col min="2339" max="2560" width="9.140625" style="9"/>
    <col min="2561" max="2561" width="5.42578125" style="9" customWidth="1"/>
    <col min="2562" max="2562" width="45.140625" style="9" customWidth="1"/>
    <col min="2563" max="2563" width="15.140625" style="9" customWidth="1"/>
    <col min="2564" max="2564" width="16.42578125" style="9" customWidth="1"/>
    <col min="2565" max="2565" width="17.140625" style="9" customWidth="1"/>
    <col min="2566" max="2568" width="0" style="9" hidden="1" customWidth="1"/>
    <col min="2569" max="2570" width="15.85546875" style="9" customWidth="1"/>
    <col min="2571" max="2571" width="11.140625" style="9" customWidth="1"/>
    <col min="2572" max="2572" width="11.85546875" style="9" customWidth="1"/>
    <col min="2573" max="2573" width="10.42578125" style="9" customWidth="1"/>
    <col min="2574" max="2574" width="16.42578125" style="9" customWidth="1"/>
    <col min="2575" max="2575" width="14.140625" style="9" customWidth="1"/>
    <col min="2576" max="2576" width="15.85546875" style="9" customWidth="1"/>
    <col min="2577" max="2578" width="0" style="9" hidden="1" customWidth="1"/>
    <col min="2579" max="2579" width="11.85546875" style="9" customWidth="1"/>
    <col min="2580" max="2580" width="15.85546875" style="9" customWidth="1"/>
    <col min="2581" max="2581" width="15.42578125" style="9" customWidth="1"/>
    <col min="2582" max="2582" width="12.42578125" style="9" customWidth="1"/>
    <col min="2583" max="2583" width="11.140625" style="9" customWidth="1"/>
    <col min="2584" max="2584" width="15.42578125" style="9" customWidth="1"/>
    <col min="2585" max="2586" width="0" style="9" hidden="1" customWidth="1"/>
    <col min="2587" max="2587" width="15" style="9" customWidth="1"/>
    <col min="2588" max="2588" width="9.42578125" style="9" customWidth="1"/>
    <col min="2589" max="2589" width="10.5703125" style="9" customWidth="1"/>
    <col min="2590" max="2590" width="9.5703125" style="9" customWidth="1"/>
    <col min="2591" max="2591" width="11.42578125" style="9" customWidth="1"/>
    <col min="2592" max="2592" width="9.140625" style="9"/>
    <col min="2593" max="2593" width="12.5703125" style="9" bestFit="1" customWidth="1"/>
    <col min="2594" max="2594" width="20.140625" style="9" bestFit="1" customWidth="1"/>
    <col min="2595" max="2816" width="9.140625" style="9"/>
    <col min="2817" max="2817" width="5.42578125" style="9" customWidth="1"/>
    <col min="2818" max="2818" width="45.140625" style="9" customWidth="1"/>
    <col min="2819" max="2819" width="15.140625" style="9" customWidth="1"/>
    <col min="2820" max="2820" width="16.42578125" style="9" customWidth="1"/>
    <col min="2821" max="2821" width="17.140625" style="9" customWidth="1"/>
    <col min="2822" max="2824" width="0" style="9" hidden="1" customWidth="1"/>
    <col min="2825" max="2826" width="15.85546875" style="9" customWidth="1"/>
    <col min="2827" max="2827" width="11.140625" style="9" customWidth="1"/>
    <col min="2828" max="2828" width="11.85546875" style="9" customWidth="1"/>
    <col min="2829" max="2829" width="10.42578125" style="9" customWidth="1"/>
    <col min="2830" max="2830" width="16.42578125" style="9" customWidth="1"/>
    <col min="2831" max="2831" width="14.140625" style="9" customWidth="1"/>
    <col min="2832" max="2832" width="15.85546875" style="9" customWidth="1"/>
    <col min="2833" max="2834" width="0" style="9" hidden="1" customWidth="1"/>
    <col min="2835" max="2835" width="11.85546875" style="9" customWidth="1"/>
    <col min="2836" max="2836" width="15.85546875" style="9" customWidth="1"/>
    <col min="2837" max="2837" width="15.42578125" style="9" customWidth="1"/>
    <col min="2838" max="2838" width="12.42578125" style="9" customWidth="1"/>
    <col min="2839" max="2839" width="11.140625" style="9" customWidth="1"/>
    <col min="2840" max="2840" width="15.42578125" style="9" customWidth="1"/>
    <col min="2841" max="2842" width="0" style="9" hidden="1" customWidth="1"/>
    <col min="2843" max="2843" width="15" style="9" customWidth="1"/>
    <col min="2844" max="2844" width="9.42578125" style="9" customWidth="1"/>
    <col min="2845" max="2845" width="10.5703125" style="9" customWidth="1"/>
    <col min="2846" max="2846" width="9.5703125" style="9" customWidth="1"/>
    <col min="2847" max="2847" width="11.42578125" style="9" customWidth="1"/>
    <col min="2848" max="2848" width="9.140625" style="9"/>
    <col min="2849" max="2849" width="12.5703125" style="9" bestFit="1" customWidth="1"/>
    <col min="2850" max="2850" width="20.140625" style="9" bestFit="1" customWidth="1"/>
    <col min="2851" max="3072" width="9.140625" style="9"/>
    <col min="3073" max="3073" width="5.42578125" style="9" customWidth="1"/>
    <col min="3074" max="3074" width="45.140625" style="9" customWidth="1"/>
    <col min="3075" max="3075" width="15.140625" style="9" customWidth="1"/>
    <col min="3076" max="3076" width="16.42578125" style="9" customWidth="1"/>
    <col min="3077" max="3077" width="17.140625" style="9" customWidth="1"/>
    <col min="3078" max="3080" width="0" style="9" hidden="1" customWidth="1"/>
    <col min="3081" max="3082" width="15.85546875" style="9" customWidth="1"/>
    <col min="3083" max="3083" width="11.140625" style="9" customWidth="1"/>
    <col min="3084" max="3084" width="11.85546875" style="9" customWidth="1"/>
    <col min="3085" max="3085" width="10.42578125" style="9" customWidth="1"/>
    <col min="3086" max="3086" width="16.42578125" style="9" customWidth="1"/>
    <col min="3087" max="3087" width="14.140625" style="9" customWidth="1"/>
    <col min="3088" max="3088" width="15.85546875" style="9" customWidth="1"/>
    <col min="3089" max="3090" width="0" style="9" hidden="1" customWidth="1"/>
    <col min="3091" max="3091" width="11.85546875" style="9" customWidth="1"/>
    <col min="3092" max="3092" width="15.85546875" style="9" customWidth="1"/>
    <col min="3093" max="3093" width="15.42578125" style="9" customWidth="1"/>
    <col min="3094" max="3094" width="12.42578125" style="9" customWidth="1"/>
    <col min="3095" max="3095" width="11.140625" style="9" customWidth="1"/>
    <col min="3096" max="3096" width="15.42578125" style="9" customWidth="1"/>
    <col min="3097" max="3098" width="0" style="9" hidden="1" customWidth="1"/>
    <col min="3099" max="3099" width="15" style="9" customWidth="1"/>
    <col min="3100" max="3100" width="9.42578125" style="9" customWidth="1"/>
    <col min="3101" max="3101" width="10.5703125" style="9" customWidth="1"/>
    <col min="3102" max="3102" width="9.5703125" style="9" customWidth="1"/>
    <col min="3103" max="3103" width="11.42578125" style="9" customWidth="1"/>
    <col min="3104" max="3104" width="9.140625" style="9"/>
    <col min="3105" max="3105" width="12.5703125" style="9" bestFit="1" customWidth="1"/>
    <col min="3106" max="3106" width="20.140625" style="9" bestFit="1" customWidth="1"/>
    <col min="3107" max="3328" width="9.140625" style="9"/>
    <col min="3329" max="3329" width="5.42578125" style="9" customWidth="1"/>
    <col min="3330" max="3330" width="45.140625" style="9" customWidth="1"/>
    <col min="3331" max="3331" width="15.140625" style="9" customWidth="1"/>
    <col min="3332" max="3332" width="16.42578125" style="9" customWidth="1"/>
    <col min="3333" max="3333" width="17.140625" style="9" customWidth="1"/>
    <col min="3334" max="3336" width="0" style="9" hidden="1" customWidth="1"/>
    <col min="3337" max="3338" width="15.85546875" style="9" customWidth="1"/>
    <col min="3339" max="3339" width="11.140625" style="9" customWidth="1"/>
    <col min="3340" max="3340" width="11.85546875" style="9" customWidth="1"/>
    <col min="3341" max="3341" width="10.42578125" style="9" customWidth="1"/>
    <col min="3342" max="3342" width="16.42578125" style="9" customWidth="1"/>
    <col min="3343" max="3343" width="14.140625" style="9" customWidth="1"/>
    <col min="3344" max="3344" width="15.85546875" style="9" customWidth="1"/>
    <col min="3345" max="3346" width="0" style="9" hidden="1" customWidth="1"/>
    <col min="3347" max="3347" width="11.85546875" style="9" customWidth="1"/>
    <col min="3348" max="3348" width="15.85546875" style="9" customWidth="1"/>
    <col min="3349" max="3349" width="15.42578125" style="9" customWidth="1"/>
    <col min="3350" max="3350" width="12.42578125" style="9" customWidth="1"/>
    <col min="3351" max="3351" width="11.140625" style="9" customWidth="1"/>
    <col min="3352" max="3352" width="15.42578125" style="9" customWidth="1"/>
    <col min="3353" max="3354" width="0" style="9" hidden="1" customWidth="1"/>
    <col min="3355" max="3355" width="15" style="9" customWidth="1"/>
    <col min="3356" max="3356" width="9.42578125" style="9" customWidth="1"/>
    <col min="3357" max="3357" width="10.5703125" style="9" customWidth="1"/>
    <col min="3358" max="3358" width="9.5703125" style="9" customWidth="1"/>
    <col min="3359" max="3359" width="11.42578125" style="9" customWidth="1"/>
    <col min="3360" max="3360" width="9.140625" style="9"/>
    <col min="3361" max="3361" width="12.5703125" style="9" bestFit="1" customWidth="1"/>
    <col min="3362" max="3362" width="20.140625" style="9" bestFit="1" customWidth="1"/>
    <col min="3363" max="3584" width="9.140625" style="9"/>
    <col min="3585" max="3585" width="5.42578125" style="9" customWidth="1"/>
    <col min="3586" max="3586" width="45.140625" style="9" customWidth="1"/>
    <col min="3587" max="3587" width="15.140625" style="9" customWidth="1"/>
    <col min="3588" max="3588" width="16.42578125" style="9" customWidth="1"/>
    <col min="3589" max="3589" width="17.140625" style="9" customWidth="1"/>
    <col min="3590" max="3592" width="0" style="9" hidden="1" customWidth="1"/>
    <col min="3593" max="3594" width="15.85546875" style="9" customWidth="1"/>
    <col min="3595" max="3595" width="11.140625" style="9" customWidth="1"/>
    <col min="3596" max="3596" width="11.85546875" style="9" customWidth="1"/>
    <col min="3597" max="3597" width="10.42578125" style="9" customWidth="1"/>
    <col min="3598" max="3598" width="16.42578125" style="9" customWidth="1"/>
    <col min="3599" max="3599" width="14.140625" style="9" customWidth="1"/>
    <col min="3600" max="3600" width="15.85546875" style="9" customWidth="1"/>
    <col min="3601" max="3602" width="0" style="9" hidden="1" customWidth="1"/>
    <col min="3603" max="3603" width="11.85546875" style="9" customWidth="1"/>
    <col min="3604" max="3604" width="15.85546875" style="9" customWidth="1"/>
    <col min="3605" max="3605" width="15.42578125" style="9" customWidth="1"/>
    <col min="3606" max="3606" width="12.42578125" style="9" customWidth="1"/>
    <col min="3607" max="3607" width="11.140625" style="9" customWidth="1"/>
    <col min="3608" max="3608" width="15.42578125" style="9" customWidth="1"/>
    <col min="3609" max="3610" width="0" style="9" hidden="1" customWidth="1"/>
    <col min="3611" max="3611" width="15" style="9" customWidth="1"/>
    <col min="3612" max="3612" width="9.42578125" style="9" customWidth="1"/>
    <col min="3613" max="3613" width="10.5703125" style="9" customWidth="1"/>
    <col min="3614" max="3614" width="9.5703125" style="9" customWidth="1"/>
    <col min="3615" max="3615" width="11.42578125" style="9" customWidth="1"/>
    <col min="3616" max="3616" width="9.140625" style="9"/>
    <col min="3617" max="3617" width="12.5703125" style="9" bestFit="1" customWidth="1"/>
    <col min="3618" max="3618" width="20.140625" style="9" bestFit="1" customWidth="1"/>
    <col min="3619" max="3840" width="9.140625" style="9"/>
    <col min="3841" max="3841" width="5.42578125" style="9" customWidth="1"/>
    <col min="3842" max="3842" width="45.140625" style="9" customWidth="1"/>
    <col min="3843" max="3843" width="15.140625" style="9" customWidth="1"/>
    <col min="3844" max="3844" width="16.42578125" style="9" customWidth="1"/>
    <col min="3845" max="3845" width="17.140625" style="9" customWidth="1"/>
    <col min="3846" max="3848" width="0" style="9" hidden="1" customWidth="1"/>
    <col min="3849" max="3850" width="15.85546875" style="9" customWidth="1"/>
    <col min="3851" max="3851" width="11.140625" style="9" customWidth="1"/>
    <col min="3852" max="3852" width="11.85546875" style="9" customWidth="1"/>
    <col min="3853" max="3853" width="10.42578125" style="9" customWidth="1"/>
    <col min="3854" max="3854" width="16.42578125" style="9" customWidth="1"/>
    <col min="3855" max="3855" width="14.140625" style="9" customWidth="1"/>
    <col min="3856" max="3856" width="15.85546875" style="9" customWidth="1"/>
    <col min="3857" max="3858" width="0" style="9" hidden="1" customWidth="1"/>
    <col min="3859" max="3859" width="11.85546875" style="9" customWidth="1"/>
    <col min="3860" max="3860" width="15.85546875" style="9" customWidth="1"/>
    <col min="3861" max="3861" width="15.42578125" style="9" customWidth="1"/>
    <col min="3862" max="3862" width="12.42578125" style="9" customWidth="1"/>
    <col min="3863" max="3863" width="11.140625" style="9" customWidth="1"/>
    <col min="3864" max="3864" width="15.42578125" style="9" customWidth="1"/>
    <col min="3865" max="3866" width="0" style="9" hidden="1" customWidth="1"/>
    <col min="3867" max="3867" width="15" style="9" customWidth="1"/>
    <col min="3868" max="3868" width="9.42578125" style="9" customWidth="1"/>
    <col min="3869" max="3869" width="10.5703125" style="9" customWidth="1"/>
    <col min="3870" max="3870" width="9.5703125" style="9" customWidth="1"/>
    <col min="3871" max="3871" width="11.42578125" style="9" customWidth="1"/>
    <col min="3872" max="3872" width="9.140625" style="9"/>
    <col min="3873" max="3873" width="12.5703125" style="9" bestFit="1" customWidth="1"/>
    <col min="3874" max="3874" width="20.140625" style="9" bestFit="1" customWidth="1"/>
    <col min="3875" max="4096" width="9.140625" style="9"/>
    <col min="4097" max="4097" width="5.42578125" style="9" customWidth="1"/>
    <col min="4098" max="4098" width="45.140625" style="9" customWidth="1"/>
    <col min="4099" max="4099" width="15.140625" style="9" customWidth="1"/>
    <col min="4100" max="4100" width="16.42578125" style="9" customWidth="1"/>
    <col min="4101" max="4101" width="17.140625" style="9" customWidth="1"/>
    <col min="4102" max="4104" width="0" style="9" hidden="1" customWidth="1"/>
    <col min="4105" max="4106" width="15.85546875" style="9" customWidth="1"/>
    <col min="4107" max="4107" width="11.140625" style="9" customWidth="1"/>
    <col min="4108" max="4108" width="11.85546875" style="9" customWidth="1"/>
    <col min="4109" max="4109" width="10.42578125" style="9" customWidth="1"/>
    <col min="4110" max="4110" width="16.42578125" style="9" customWidth="1"/>
    <col min="4111" max="4111" width="14.140625" style="9" customWidth="1"/>
    <col min="4112" max="4112" width="15.85546875" style="9" customWidth="1"/>
    <col min="4113" max="4114" width="0" style="9" hidden="1" customWidth="1"/>
    <col min="4115" max="4115" width="11.85546875" style="9" customWidth="1"/>
    <col min="4116" max="4116" width="15.85546875" style="9" customWidth="1"/>
    <col min="4117" max="4117" width="15.42578125" style="9" customWidth="1"/>
    <col min="4118" max="4118" width="12.42578125" style="9" customWidth="1"/>
    <col min="4119" max="4119" width="11.140625" style="9" customWidth="1"/>
    <col min="4120" max="4120" width="15.42578125" style="9" customWidth="1"/>
    <col min="4121" max="4122" width="0" style="9" hidden="1" customWidth="1"/>
    <col min="4123" max="4123" width="15" style="9" customWidth="1"/>
    <col min="4124" max="4124" width="9.42578125" style="9" customWidth="1"/>
    <col min="4125" max="4125" width="10.5703125" style="9" customWidth="1"/>
    <col min="4126" max="4126" width="9.5703125" style="9" customWidth="1"/>
    <col min="4127" max="4127" width="11.42578125" style="9" customWidth="1"/>
    <col min="4128" max="4128" width="9.140625" style="9"/>
    <col min="4129" max="4129" width="12.5703125" style="9" bestFit="1" customWidth="1"/>
    <col min="4130" max="4130" width="20.140625" style="9" bestFit="1" customWidth="1"/>
    <col min="4131" max="4352" width="9.140625" style="9"/>
    <col min="4353" max="4353" width="5.42578125" style="9" customWidth="1"/>
    <col min="4354" max="4354" width="45.140625" style="9" customWidth="1"/>
    <col min="4355" max="4355" width="15.140625" style="9" customWidth="1"/>
    <col min="4356" max="4356" width="16.42578125" style="9" customWidth="1"/>
    <col min="4357" max="4357" width="17.140625" style="9" customWidth="1"/>
    <col min="4358" max="4360" width="0" style="9" hidden="1" customWidth="1"/>
    <col min="4361" max="4362" width="15.85546875" style="9" customWidth="1"/>
    <col min="4363" max="4363" width="11.140625" style="9" customWidth="1"/>
    <col min="4364" max="4364" width="11.85546875" style="9" customWidth="1"/>
    <col min="4365" max="4365" width="10.42578125" style="9" customWidth="1"/>
    <col min="4366" max="4366" width="16.42578125" style="9" customWidth="1"/>
    <col min="4367" max="4367" width="14.140625" style="9" customWidth="1"/>
    <col min="4368" max="4368" width="15.85546875" style="9" customWidth="1"/>
    <col min="4369" max="4370" width="0" style="9" hidden="1" customWidth="1"/>
    <col min="4371" max="4371" width="11.85546875" style="9" customWidth="1"/>
    <col min="4372" max="4372" width="15.85546875" style="9" customWidth="1"/>
    <col min="4373" max="4373" width="15.42578125" style="9" customWidth="1"/>
    <col min="4374" max="4374" width="12.42578125" style="9" customWidth="1"/>
    <col min="4375" max="4375" width="11.140625" style="9" customWidth="1"/>
    <col min="4376" max="4376" width="15.42578125" style="9" customWidth="1"/>
    <col min="4377" max="4378" width="0" style="9" hidden="1" customWidth="1"/>
    <col min="4379" max="4379" width="15" style="9" customWidth="1"/>
    <col min="4380" max="4380" width="9.42578125" style="9" customWidth="1"/>
    <col min="4381" max="4381" width="10.5703125" style="9" customWidth="1"/>
    <col min="4382" max="4382" width="9.5703125" style="9" customWidth="1"/>
    <col min="4383" max="4383" width="11.42578125" style="9" customWidth="1"/>
    <col min="4384" max="4384" width="9.140625" style="9"/>
    <col min="4385" max="4385" width="12.5703125" style="9" bestFit="1" customWidth="1"/>
    <col min="4386" max="4386" width="20.140625" style="9" bestFit="1" customWidth="1"/>
    <col min="4387" max="4608" width="9.140625" style="9"/>
    <col min="4609" max="4609" width="5.42578125" style="9" customWidth="1"/>
    <col min="4610" max="4610" width="45.140625" style="9" customWidth="1"/>
    <col min="4611" max="4611" width="15.140625" style="9" customWidth="1"/>
    <col min="4612" max="4612" width="16.42578125" style="9" customWidth="1"/>
    <col min="4613" max="4613" width="17.140625" style="9" customWidth="1"/>
    <col min="4614" max="4616" width="0" style="9" hidden="1" customWidth="1"/>
    <col min="4617" max="4618" width="15.85546875" style="9" customWidth="1"/>
    <col min="4619" max="4619" width="11.140625" style="9" customWidth="1"/>
    <col min="4620" max="4620" width="11.85546875" style="9" customWidth="1"/>
    <col min="4621" max="4621" width="10.42578125" style="9" customWidth="1"/>
    <col min="4622" max="4622" width="16.42578125" style="9" customWidth="1"/>
    <col min="4623" max="4623" width="14.140625" style="9" customWidth="1"/>
    <col min="4624" max="4624" width="15.85546875" style="9" customWidth="1"/>
    <col min="4625" max="4626" width="0" style="9" hidden="1" customWidth="1"/>
    <col min="4627" max="4627" width="11.85546875" style="9" customWidth="1"/>
    <col min="4628" max="4628" width="15.85546875" style="9" customWidth="1"/>
    <col min="4629" max="4629" width="15.42578125" style="9" customWidth="1"/>
    <col min="4630" max="4630" width="12.42578125" style="9" customWidth="1"/>
    <col min="4631" max="4631" width="11.140625" style="9" customWidth="1"/>
    <col min="4632" max="4632" width="15.42578125" style="9" customWidth="1"/>
    <col min="4633" max="4634" width="0" style="9" hidden="1" customWidth="1"/>
    <col min="4635" max="4635" width="15" style="9" customWidth="1"/>
    <col min="4636" max="4636" width="9.42578125" style="9" customWidth="1"/>
    <col min="4637" max="4637" width="10.5703125" style="9" customWidth="1"/>
    <col min="4638" max="4638" width="9.5703125" style="9" customWidth="1"/>
    <col min="4639" max="4639" width="11.42578125" style="9" customWidth="1"/>
    <col min="4640" max="4640" width="9.140625" style="9"/>
    <col min="4641" max="4641" width="12.5703125" style="9" bestFit="1" customWidth="1"/>
    <col min="4642" max="4642" width="20.140625" style="9" bestFit="1" customWidth="1"/>
    <col min="4643" max="4864" width="9.140625" style="9"/>
    <col min="4865" max="4865" width="5.42578125" style="9" customWidth="1"/>
    <col min="4866" max="4866" width="45.140625" style="9" customWidth="1"/>
    <col min="4867" max="4867" width="15.140625" style="9" customWidth="1"/>
    <col min="4868" max="4868" width="16.42578125" style="9" customWidth="1"/>
    <col min="4869" max="4869" width="17.140625" style="9" customWidth="1"/>
    <col min="4870" max="4872" width="0" style="9" hidden="1" customWidth="1"/>
    <col min="4873" max="4874" width="15.85546875" style="9" customWidth="1"/>
    <col min="4875" max="4875" width="11.140625" style="9" customWidth="1"/>
    <col min="4876" max="4876" width="11.85546875" style="9" customWidth="1"/>
    <col min="4877" max="4877" width="10.42578125" style="9" customWidth="1"/>
    <col min="4878" max="4878" width="16.42578125" style="9" customWidth="1"/>
    <col min="4879" max="4879" width="14.140625" style="9" customWidth="1"/>
    <col min="4880" max="4880" width="15.85546875" style="9" customWidth="1"/>
    <col min="4881" max="4882" width="0" style="9" hidden="1" customWidth="1"/>
    <col min="4883" max="4883" width="11.85546875" style="9" customWidth="1"/>
    <col min="4884" max="4884" width="15.85546875" style="9" customWidth="1"/>
    <col min="4885" max="4885" width="15.42578125" style="9" customWidth="1"/>
    <col min="4886" max="4886" width="12.42578125" style="9" customWidth="1"/>
    <col min="4887" max="4887" width="11.140625" style="9" customWidth="1"/>
    <col min="4888" max="4888" width="15.42578125" style="9" customWidth="1"/>
    <col min="4889" max="4890" width="0" style="9" hidden="1" customWidth="1"/>
    <col min="4891" max="4891" width="15" style="9" customWidth="1"/>
    <col min="4892" max="4892" width="9.42578125" style="9" customWidth="1"/>
    <col min="4893" max="4893" width="10.5703125" style="9" customWidth="1"/>
    <col min="4894" max="4894" width="9.5703125" style="9" customWidth="1"/>
    <col min="4895" max="4895" width="11.42578125" style="9" customWidth="1"/>
    <col min="4896" max="4896" width="9.140625" style="9"/>
    <col min="4897" max="4897" width="12.5703125" style="9" bestFit="1" customWidth="1"/>
    <col min="4898" max="4898" width="20.140625" style="9" bestFit="1" customWidth="1"/>
    <col min="4899" max="5120" width="9.140625" style="9"/>
    <col min="5121" max="5121" width="5.42578125" style="9" customWidth="1"/>
    <col min="5122" max="5122" width="45.140625" style="9" customWidth="1"/>
    <col min="5123" max="5123" width="15.140625" style="9" customWidth="1"/>
    <col min="5124" max="5124" width="16.42578125" style="9" customWidth="1"/>
    <col min="5125" max="5125" width="17.140625" style="9" customWidth="1"/>
    <col min="5126" max="5128" width="0" style="9" hidden="1" customWidth="1"/>
    <col min="5129" max="5130" width="15.85546875" style="9" customWidth="1"/>
    <col min="5131" max="5131" width="11.140625" style="9" customWidth="1"/>
    <col min="5132" max="5132" width="11.85546875" style="9" customWidth="1"/>
    <col min="5133" max="5133" width="10.42578125" style="9" customWidth="1"/>
    <col min="5134" max="5134" width="16.42578125" style="9" customWidth="1"/>
    <col min="5135" max="5135" width="14.140625" style="9" customWidth="1"/>
    <col min="5136" max="5136" width="15.85546875" style="9" customWidth="1"/>
    <col min="5137" max="5138" width="0" style="9" hidden="1" customWidth="1"/>
    <col min="5139" max="5139" width="11.85546875" style="9" customWidth="1"/>
    <col min="5140" max="5140" width="15.85546875" style="9" customWidth="1"/>
    <col min="5141" max="5141" width="15.42578125" style="9" customWidth="1"/>
    <col min="5142" max="5142" width="12.42578125" style="9" customWidth="1"/>
    <col min="5143" max="5143" width="11.140625" style="9" customWidth="1"/>
    <col min="5144" max="5144" width="15.42578125" style="9" customWidth="1"/>
    <col min="5145" max="5146" width="0" style="9" hidden="1" customWidth="1"/>
    <col min="5147" max="5147" width="15" style="9" customWidth="1"/>
    <col min="5148" max="5148" width="9.42578125" style="9" customWidth="1"/>
    <col min="5149" max="5149" width="10.5703125" style="9" customWidth="1"/>
    <col min="5150" max="5150" width="9.5703125" style="9" customWidth="1"/>
    <col min="5151" max="5151" width="11.42578125" style="9" customWidth="1"/>
    <col min="5152" max="5152" width="9.140625" style="9"/>
    <col min="5153" max="5153" width="12.5703125" style="9" bestFit="1" customWidth="1"/>
    <col min="5154" max="5154" width="20.140625" style="9" bestFit="1" customWidth="1"/>
    <col min="5155" max="5376" width="9.140625" style="9"/>
    <col min="5377" max="5377" width="5.42578125" style="9" customWidth="1"/>
    <col min="5378" max="5378" width="45.140625" style="9" customWidth="1"/>
    <col min="5379" max="5379" width="15.140625" style="9" customWidth="1"/>
    <col min="5380" max="5380" width="16.42578125" style="9" customWidth="1"/>
    <col min="5381" max="5381" width="17.140625" style="9" customWidth="1"/>
    <col min="5382" max="5384" width="0" style="9" hidden="1" customWidth="1"/>
    <col min="5385" max="5386" width="15.85546875" style="9" customWidth="1"/>
    <col min="5387" max="5387" width="11.140625" style="9" customWidth="1"/>
    <col min="5388" max="5388" width="11.85546875" style="9" customWidth="1"/>
    <col min="5389" max="5389" width="10.42578125" style="9" customWidth="1"/>
    <col min="5390" max="5390" width="16.42578125" style="9" customWidth="1"/>
    <col min="5391" max="5391" width="14.140625" style="9" customWidth="1"/>
    <col min="5392" max="5392" width="15.85546875" style="9" customWidth="1"/>
    <col min="5393" max="5394" width="0" style="9" hidden="1" customWidth="1"/>
    <col min="5395" max="5395" width="11.85546875" style="9" customWidth="1"/>
    <col min="5396" max="5396" width="15.85546875" style="9" customWidth="1"/>
    <col min="5397" max="5397" width="15.42578125" style="9" customWidth="1"/>
    <col min="5398" max="5398" width="12.42578125" style="9" customWidth="1"/>
    <col min="5399" max="5399" width="11.140625" style="9" customWidth="1"/>
    <col min="5400" max="5400" width="15.42578125" style="9" customWidth="1"/>
    <col min="5401" max="5402" width="0" style="9" hidden="1" customWidth="1"/>
    <col min="5403" max="5403" width="15" style="9" customWidth="1"/>
    <col min="5404" max="5404" width="9.42578125" style="9" customWidth="1"/>
    <col min="5405" max="5405" width="10.5703125" style="9" customWidth="1"/>
    <col min="5406" max="5406" width="9.5703125" style="9" customWidth="1"/>
    <col min="5407" max="5407" width="11.42578125" style="9" customWidth="1"/>
    <col min="5408" max="5408" width="9.140625" style="9"/>
    <col min="5409" max="5409" width="12.5703125" style="9" bestFit="1" customWidth="1"/>
    <col min="5410" max="5410" width="20.140625" style="9" bestFit="1" customWidth="1"/>
    <col min="5411" max="5632" width="9.140625" style="9"/>
    <col min="5633" max="5633" width="5.42578125" style="9" customWidth="1"/>
    <col min="5634" max="5634" width="45.140625" style="9" customWidth="1"/>
    <col min="5635" max="5635" width="15.140625" style="9" customWidth="1"/>
    <col min="5636" max="5636" width="16.42578125" style="9" customWidth="1"/>
    <col min="5637" max="5637" width="17.140625" style="9" customWidth="1"/>
    <col min="5638" max="5640" width="0" style="9" hidden="1" customWidth="1"/>
    <col min="5641" max="5642" width="15.85546875" style="9" customWidth="1"/>
    <col min="5643" max="5643" width="11.140625" style="9" customWidth="1"/>
    <col min="5644" max="5644" width="11.85546875" style="9" customWidth="1"/>
    <col min="5645" max="5645" width="10.42578125" style="9" customWidth="1"/>
    <col min="5646" max="5646" width="16.42578125" style="9" customWidth="1"/>
    <col min="5647" max="5647" width="14.140625" style="9" customWidth="1"/>
    <col min="5648" max="5648" width="15.85546875" style="9" customWidth="1"/>
    <col min="5649" max="5650" width="0" style="9" hidden="1" customWidth="1"/>
    <col min="5651" max="5651" width="11.85546875" style="9" customWidth="1"/>
    <col min="5652" max="5652" width="15.85546875" style="9" customWidth="1"/>
    <col min="5653" max="5653" width="15.42578125" style="9" customWidth="1"/>
    <col min="5654" max="5654" width="12.42578125" style="9" customWidth="1"/>
    <col min="5655" max="5655" width="11.140625" style="9" customWidth="1"/>
    <col min="5656" max="5656" width="15.42578125" style="9" customWidth="1"/>
    <col min="5657" max="5658" width="0" style="9" hidden="1" customWidth="1"/>
    <col min="5659" max="5659" width="15" style="9" customWidth="1"/>
    <col min="5660" max="5660" width="9.42578125" style="9" customWidth="1"/>
    <col min="5661" max="5661" width="10.5703125" style="9" customWidth="1"/>
    <col min="5662" max="5662" width="9.5703125" style="9" customWidth="1"/>
    <col min="5663" max="5663" width="11.42578125" style="9" customWidth="1"/>
    <col min="5664" max="5664" width="9.140625" style="9"/>
    <col min="5665" max="5665" width="12.5703125" style="9" bestFit="1" customWidth="1"/>
    <col min="5666" max="5666" width="20.140625" style="9" bestFit="1" customWidth="1"/>
    <col min="5667" max="5888" width="9.140625" style="9"/>
    <col min="5889" max="5889" width="5.42578125" style="9" customWidth="1"/>
    <col min="5890" max="5890" width="45.140625" style="9" customWidth="1"/>
    <col min="5891" max="5891" width="15.140625" style="9" customWidth="1"/>
    <col min="5892" max="5892" width="16.42578125" style="9" customWidth="1"/>
    <col min="5893" max="5893" width="17.140625" style="9" customWidth="1"/>
    <col min="5894" max="5896" width="0" style="9" hidden="1" customWidth="1"/>
    <col min="5897" max="5898" width="15.85546875" style="9" customWidth="1"/>
    <col min="5899" max="5899" width="11.140625" style="9" customWidth="1"/>
    <col min="5900" max="5900" width="11.85546875" style="9" customWidth="1"/>
    <col min="5901" max="5901" width="10.42578125" style="9" customWidth="1"/>
    <col min="5902" max="5902" width="16.42578125" style="9" customWidth="1"/>
    <col min="5903" max="5903" width="14.140625" style="9" customWidth="1"/>
    <col min="5904" max="5904" width="15.85546875" style="9" customWidth="1"/>
    <col min="5905" max="5906" width="0" style="9" hidden="1" customWidth="1"/>
    <col min="5907" max="5907" width="11.85546875" style="9" customWidth="1"/>
    <col min="5908" max="5908" width="15.85546875" style="9" customWidth="1"/>
    <col min="5909" max="5909" width="15.42578125" style="9" customWidth="1"/>
    <col min="5910" max="5910" width="12.42578125" style="9" customWidth="1"/>
    <col min="5911" max="5911" width="11.140625" style="9" customWidth="1"/>
    <col min="5912" max="5912" width="15.42578125" style="9" customWidth="1"/>
    <col min="5913" max="5914" width="0" style="9" hidden="1" customWidth="1"/>
    <col min="5915" max="5915" width="15" style="9" customWidth="1"/>
    <col min="5916" max="5916" width="9.42578125" style="9" customWidth="1"/>
    <col min="5917" max="5917" width="10.5703125" style="9" customWidth="1"/>
    <col min="5918" max="5918" width="9.5703125" style="9" customWidth="1"/>
    <col min="5919" max="5919" width="11.42578125" style="9" customWidth="1"/>
    <col min="5920" max="5920" width="9.140625" style="9"/>
    <col min="5921" max="5921" width="12.5703125" style="9" bestFit="1" customWidth="1"/>
    <col min="5922" max="5922" width="20.140625" style="9" bestFit="1" customWidth="1"/>
    <col min="5923" max="6144" width="9.140625" style="9"/>
    <col min="6145" max="6145" width="5.42578125" style="9" customWidth="1"/>
    <col min="6146" max="6146" width="45.140625" style="9" customWidth="1"/>
    <col min="6147" max="6147" width="15.140625" style="9" customWidth="1"/>
    <col min="6148" max="6148" width="16.42578125" style="9" customWidth="1"/>
    <col min="6149" max="6149" width="17.140625" style="9" customWidth="1"/>
    <col min="6150" max="6152" width="0" style="9" hidden="1" customWidth="1"/>
    <col min="6153" max="6154" width="15.85546875" style="9" customWidth="1"/>
    <col min="6155" max="6155" width="11.140625" style="9" customWidth="1"/>
    <col min="6156" max="6156" width="11.85546875" style="9" customWidth="1"/>
    <col min="6157" max="6157" width="10.42578125" style="9" customWidth="1"/>
    <col min="6158" max="6158" width="16.42578125" style="9" customWidth="1"/>
    <col min="6159" max="6159" width="14.140625" style="9" customWidth="1"/>
    <col min="6160" max="6160" width="15.85546875" style="9" customWidth="1"/>
    <col min="6161" max="6162" width="0" style="9" hidden="1" customWidth="1"/>
    <col min="6163" max="6163" width="11.85546875" style="9" customWidth="1"/>
    <col min="6164" max="6164" width="15.85546875" style="9" customWidth="1"/>
    <col min="6165" max="6165" width="15.42578125" style="9" customWidth="1"/>
    <col min="6166" max="6166" width="12.42578125" style="9" customWidth="1"/>
    <col min="6167" max="6167" width="11.140625" style="9" customWidth="1"/>
    <col min="6168" max="6168" width="15.42578125" style="9" customWidth="1"/>
    <col min="6169" max="6170" width="0" style="9" hidden="1" customWidth="1"/>
    <col min="6171" max="6171" width="15" style="9" customWidth="1"/>
    <col min="6172" max="6172" width="9.42578125" style="9" customWidth="1"/>
    <col min="6173" max="6173" width="10.5703125" style="9" customWidth="1"/>
    <col min="6174" max="6174" width="9.5703125" style="9" customWidth="1"/>
    <col min="6175" max="6175" width="11.42578125" style="9" customWidth="1"/>
    <col min="6176" max="6176" width="9.140625" style="9"/>
    <col min="6177" max="6177" width="12.5703125" style="9" bestFit="1" customWidth="1"/>
    <col min="6178" max="6178" width="20.140625" style="9" bestFit="1" customWidth="1"/>
    <col min="6179" max="6400" width="9.140625" style="9"/>
    <col min="6401" max="6401" width="5.42578125" style="9" customWidth="1"/>
    <col min="6402" max="6402" width="45.140625" style="9" customWidth="1"/>
    <col min="6403" max="6403" width="15.140625" style="9" customWidth="1"/>
    <col min="6404" max="6404" width="16.42578125" style="9" customWidth="1"/>
    <col min="6405" max="6405" width="17.140625" style="9" customWidth="1"/>
    <col min="6406" max="6408" width="0" style="9" hidden="1" customWidth="1"/>
    <col min="6409" max="6410" width="15.85546875" style="9" customWidth="1"/>
    <col min="6411" max="6411" width="11.140625" style="9" customWidth="1"/>
    <col min="6412" max="6412" width="11.85546875" style="9" customWidth="1"/>
    <col min="6413" max="6413" width="10.42578125" style="9" customWidth="1"/>
    <col min="6414" max="6414" width="16.42578125" style="9" customWidth="1"/>
    <col min="6415" max="6415" width="14.140625" style="9" customWidth="1"/>
    <col min="6416" max="6416" width="15.85546875" style="9" customWidth="1"/>
    <col min="6417" max="6418" width="0" style="9" hidden="1" customWidth="1"/>
    <col min="6419" max="6419" width="11.85546875" style="9" customWidth="1"/>
    <col min="6420" max="6420" width="15.85546875" style="9" customWidth="1"/>
    <col min="6421" max="6421" width="15.42578125" style="9" customWidth="1"/>
    <col min="6422" max="6422" width="12.42578125" style="9" customWidth="1"/>
    <col min="6423" max="6423" width="11.140625" style="9" customWidth="1"/>
    <col min="6424" max="6424" width="15.42578125" style="9" customWidth="1"/>
    <col min="6425" max="6426" width="0" style="9" hidden="1" customWidth="1"/>
    <col min="6427" max="6427" width="15" style="9" customWidth="1"/>
    <col min="6428" max="6428" width="9.42578125" style="9" customWidth="1"/>
    <col min="6429" max="6429" width="10.5703125" style="9" customWidth="1"/>
    <col min="6430" max="6430" width="9.5703125" style="9" customWidth="1"/>
    <col min="6431" max="6431" width="11.42578125" style="9" customWidth="1"/>
    <col min="6432" max="6432" width="9.140625" style="9"/>
    <col min="6433" max="6433" width="12.5703125" style="9" bestFit="1" customWidth="1"/>
    <col min="6434" max="6434" width="20.140625" style="9" bestFit="1" customWidth="1"/>
    <col min="6435" max="6656" width="9.140625" style="9"/>
    <col min="6657" max="6657" width="5.42578125" style="9" customWidth="1"/>
    <col min="6658" max="6658" width="45.140625" style="9" customWidth="1"/>
    <col min="6659" max="6659" width="15.140625" style="9" customWidth="1"/>
    <col min="6660" max="6660" width="16.42578125" style="9" customWidth="1"/>
    <col min="6661" max="6661" width="17.140625" style="9" customWidth="1"/>
    <col min="6662" max="6664" width="0" style="9" hidden="1" customWidth="1"/>
    <col min="6665" max="6666" width="15.85546875" style="9" customWidth="1"/>
    <col min="6667" max="6667" width="11.140625" style="9" customWidth="1"/>
    <col min="6668" max="6668" width="11.85546875" style="9" customWidth="1"/>
    <col min="6669" max="6669" width="10.42578125" style="9" customWidth="1"/>
    <col min="6670" max="6670" width="16.42578125" style="9" customWidth="1"/>
    <col min="6671" max="6671" width="14.140625" style="9" customWidth="1"/>
    <col min="6672" max="6672" width="15.85546875" style="9" customWidth="1"/>
    <col min="6673" max="6674" width="0" style="9" hidden="1" customWidth="1"/>
    <col min="6675" max="6675" width="11.85546875" style="9" customWidth="1"/>
    <col min="6676" max="6676" width="15.85546875" style="9" customWidth="1"/>
    <col min="6677" max="6677" width="15.42578125" style="9" customWidth="1"/>
    <col min="6678" max="6678" width="12.42578125" style="9" customWidth="1"/>
    <col min="6679" max="6679" width="11.140625" style="9" customWidth="1"/>
    <col min="6680" max="6680" width="15.42578125" style="9" customWidth="1"/>
    <col min="6681" max="6682" width="0" style="9" hidden="1" customWidth="1"/>
    <col min="6683" max="6683" width="15" style="9" customWidth="1"/>
    <col min="6684" max="6684" width="9.42578125" style="9" customWidth="1"/>
    <col min="6685" max="6685" width="10.5703125" style="9" customWidth="1"/>
    <col min="6686" max="6686" width="9.5703125" style="9" customWidth="1"/>
    <col min="6687" max="6687" width="11.42578125" style="9" customWidth="1"/>
    <col min="6688" max="6688" width="9.140625" style="9"/>
    <col min="6689" max="6689" width="12.5703125" style="9" bestFit="1" customWidth="1"/>
    <col min="6690" max="6690" width="20.140625" style="9" bestFit="1" customWidth="1"/>
    <col min="6691" max="6912" width="9.140625" style="9"/>
    <col min="6913" max="6913" width="5.42578125" style="9" customWidth="1"/>
    <col min="6914" max="6914" width="45.140625" style="9" customWidth="1"/>
    <col min="6915" max="6915" width="15.140625" style="9" customWidth="1"/>
    <col min="6916" max="6916" width="16.42578125" style="9" customWidth="1"/>
    <col min="6917" max="6917" width="17.140625" style="9" customWidth="1"/>
    <col min="6918" max="6920" width="0" style="9" hidden="1" customWidth="1"/>
    <col min="6921" max="6922" width="15.85546875" style="9" customWidth="1"/>
    <col min="6923" max="6923" width="11.140625" style="9" customWidth="1"/>
    <col min="6924" max="6924" width="11.85546875" style="9" customWidth="1"/>
    <col min="6925" max="6925" width="10.42578125" style="9" customWidth="1"/>
    <col min="6926" max="6926" width="16.42578125" style="9" customWidth="1"/>
    <col min="6927" max="6927" width="14.140625" style="9" customWidth="1"/>
    <col min="6928" max="6928" width="15.85546875" style="9" customWidth="1"/>
    <col min="6929" max="6930" width="0" style="9" hidden="1" customWidth="1"/>
    <col min="6931" max="6931" width="11.85546875" style="9" customWidth="1"/>
    <col min="6932" max="6932" width="15.85546875" style="9" customWidth="1"/>
    <col min="6933" max="6933" width="15.42578125" style="9" customWidth="1"/>
    <col min="6934" max="6934" width="12.42578125" style="9" customWidth="1"/>
    <col min="6935" max="6935" width="11.140625" style="9" customWidth="1"/>
    <col min="6936" max="6936" width="15.42578125" style="9" customWidth="1"/>
    <col min="6937" max="6938" width="0" style="9" hidden="1" customWidth="1"/>
    <col min="6939" max="6939" width="15" style="9" customWidth="1"/>
    <col min="6940" max="6940" width="9.42578125" style="9" customWidth="1"/>
    <col min="6941" max="6941" width="10.5703125" style="9" customWidth="1"/>
    <col min="6942" max="6942" width="9.5703125" style="9" customWidth="1"/>
    <col min="6943" max="6943" width="11.42578125" style="9" customWidth="1"/>
    <col min="6944" max="6944" width="9.140625" style="9"/>
    <col min="6945" max="6945" width="12.5703125" style="9" bestFit="1" customWidth="1"/>
    <col min="6946" max="6946" width="20.140625" style="9" bestFit="1" customWidth="1"/>
    <col min="6947" max="7168" width="9.140625" style="9"/>
    <col min="7169" max="7169" width="5.42578125" style="9" customWidth="1"/>
    <col min="7170" max="7170" width="45.140625" style="9" customWidth="1"/>
    <col min="7171" max="7171" width="15.140625" style="9" customWidth="1"/>
    <col min="7172" max="7172" width="16.42578125" style="9" customWidth="1"/>
    <col min="7173" max="7173" width="17.140625" style="9" customWidth="1"/>
    <col min="7174" max="7176" width="0" style="9" hidden="1" customWidth="1"/>
    <col min="7177" max="7178" width="15.85546875" style="9" customWidth="1"/>
    <col min="7179" max="7179" width="11.140625" style="9" customWidth="1"/>
    <col min="7180" max="7180" width="11.85546875" style="9" customWidth="1"/>
    <col min="7181" max="7181" width="10.42578125" style="9" customWidth="1"/>
    <col min="7182" max="7182" width="16.42578125" style="9" customWidth="1"/>
    <col min="7183" max="7183" width="14.140625" style="9" customWidth="1"/>
    <col min="7184" max="7184" width="15.85546875" style="9" customWidth="1"/>
    <col min="7185" max="7186" width="0" style="9" hidden="1" customWidth="1"/>
    <col min="7187" max="7187" width="11.85546875" style="9" customWidth="1"/>
    <col min="7188" max="7188" width="15.85546875" style="9" customWidth="1"/>
    <col min="7189" max="7189" width="15.42578125" style="9" customWidth="1"/>
    <col min="7190" max="7190" width="12.42578125" style="9" customWidth="1"/>
    <col min="7191" max="7191" width="11.140625" style="9" customWidth="1"/>
    <col min="7192" max="7192" width="15.42578125" style="9" customWidth="1"/>
    <col min="7193" max="7194" width="0" style="9" hidden="1" customWidth="1"/>
    <col min="7195" max="7195" width="15" style="9" customWidth="1"/>
    <col min="7196" max="7196" width="9.42578125" style="9" customWidth="1"/>
    <col min="7197" max="7197" width="10.5703125" style="9" customWidth="1"/>
    <col min="7198" max="7198" width="9.5703125" style="9" customWidth="1"/>
    <col min="7199" max="7199" width="11.42578125" style="9" customWidth="1"/>
    <col min="7200" max="7200" width="9.140625" style="9"/>
    <col min="7201" max="7201" width="12.5703125" style="9" bestFit="1" customWidth="1"/>
    <col min="7202" max="7202" width="20.140625" style="9" bestFit="1" customWidth="1"/>
    <col min="7203" max="7424" width="9.140625" style="9"/>
    <col min="7425" max="7425" width="5.42578125" style="9" customWidth="1"/>
    <col min="7426" max="7426" width="45.140625" style="9" customWidth="1"/>
    <col min="7427" max="7427" width="15.140625" style="9" customWidth="1"/>
    <col min="7428" max="7428" width="16.42578125" style="9" customWidth="1"/>
    <col min="7429" max="7429" width="17.140625" style="9" customWidth="1"/>
    <col min="7430" max="7432" width="0" style="9" hidden="1" customWidth="1"/>
    <col min="7433" max="7434" width="15.85546875" style="9" customWidth="1"/>
    <col min="7435" max="7435" width="11.140625" style="9" customWidth="1"/>
    <col min="7436" max="7436" width="11.85546875" style="9" customWidth="1"/>
    <col min="7437" max="7437" width="10.42578125" style="9" customWidth="1"/>
    <col min="7438" max="7438" width="16.42578125" style="9" customWidth="1"/>
    <col min="7439" max="7439" width="14.140625" style="9" customWidth="1"/>
    <col min="7440" max="7440" width="15.85546875" style="9" customWidth="1"/>
    <col min="7441" max="7442" width="0" style="9" hidden="1" customWidth="1"/>
    <col min="7443" max="7443" width="11.85546875" style="9" customWidth="1"/>
    <col min="7444" max="7444" width="15.85546875" style="9" customWidth="1"/>
    <col min="7445" max="7445" width="15.42578125" style="9" customWidth="1"/>
    <col min="7446" max="7446" width="12.42578125" style="9" customWidth="1"/>
    <col min="7447" max="7447" width="11.140625" style="9" customWidth="1"/>
    <col min="7448" max="7448" width="15.42578125" style="9" customWidth="1"/>
    <col min="7449" max="7450" width="0" style="9" hidden="1" customWidth="1"/>
    <col min="7451" max="7451" width="15" style="9" customWidth="1"/>
    <col min="7452" max="7452" width="9.42578125" style="9" customWidth="1"/>
    <col min="7453" max="7453" width="10.5703125" style="9" customWidth="1"/>
    <col min="7454" max="7454" width="9.5703125" style="9" customWidth="1"/>
    <col min="7455" max="7455" width="11.42578125" style="9" customWidth="1"/>
    <col min="7456" max="7456" width="9.140625" style="9"/>
    <col min="7457" max="7457" width="12.5703125" style="9" bestFit="1" customWidth="1"/>
    <col min="7458" max="7458" width="20.140625" style="9" bestFit="1" customWidth="1"/>
    <col min="7459" max="7680" width="9.140625" style="9"/>
    <col min="7681" max="7681" width="5.42578125" style="9" customWidth="1"/>
    <col min="7682" max="7682" width="45.140625" style="9" customWidth="1"/>
    <col min="7683" max="7683" width="15.140625" style="9" customWidth="1"/>
    <col min="7684" max="7684" width="16.42578125" style="9" customWidth="1"/>
    <col min="7685" max="7685" width="17.140625" style="9" customWidth="1"/>
    <col min="7686" max="7688" width="0" style="9" hidden="1" customWidth="1"/>
    <col min="7689" max="7690" width="15.85546875" style="9" customWidth="1"/>
    <col min="7691" max="7691" width="11.140625" style="9" customWidth="1"/>
    <col min="7692" max="7692" width="11.85546875" style="9" customWidth="1"/>
    <col min="7693" max="7693" width="10.42578125" style="9" customWidth="1"/>
    <col min="7694" max="7694" width="16.42578125" style="9" customWidth="1"/>
    <col min="7695" max="7695" width="14.140625" style="9" customWidth="1"/>
    <col min="7696" max="7696" width="15.85546875" style="9" customWidth="1"/>
    <col min="7697" max="7698" width="0" style="9" hidden="1" customWidth="1"/>
    <col min="7699" max="7699" width="11.85546875" style="9" customWidth="1"/>
    <col min="7700" max="7700" width="15.85546875" style="9" customWidth="1"/>
    <col min="7701" max="7701" width="15.42578125" style="9" customWidth="1"/>
    <col min="7702" max="7702" width="12.42578125" style="9" customWidth="1"/>
    <col min="7703" max="7703" width="11.140625" style="9" customWidth="1"/>
    <col min="7704" max="7704" width="15.42578125" style="9" customWidth="1"/>
    <col min="7705" max="7706" width="0" style="9" hidden="1" customWidth="1"/>
    <col min="7707" max="7707" width="15" style="9" customWidth="1"/>
    <col min="7708" max="7708" width="9.42578125" style="9" customWidth="1"/>
    <col min="7709" max="7709" width="10.5703125" style="9" customWidth="1"/>
    <col min="7710" max="7710" width="9.5703125" style="9" customWidth="1"/>
    <col min="7711" max="7711" width="11.42578125" style="9" customWidth="1"/>
    <col min="7712" max="7712" width="9.140625" style="9"/>
    <col min="7713" max="7713" width="12.5703125" style="9" bestFit="1" customWidth="1"/>
    <col min="7714" max="7714" width="20.140625" style="9" bestFit="1" customWidth="1"/>
    <col min="7715" max="7936" width="9.140625" style="9"/>
    <col min="7937" max="7937" width="5.42578125" style="9" customWidth="1"/>
    <col min="7938" max="7938" width="45.140625" style="9" customWidth="1"/>
    <col min="7939" max="7939" width="15.140625" style="9" customWidth="1"/>
    <col min="7940" max="7940" width="16.42578125" style="9" customWidth="1"/>
    <col min="7941" max="7941" width="17.140625" style="9" customWidth="1"/>
    <col min="7942" max="7944" width="0" style="9" hidden="1" customWidth="1"/>
    <col min="7945" max="7946" width="15.85546875" style="9" customWidth="1"/>
    <col min="7947" max="7947" width="11.140625" style="9" customWidth="1"/>
    <col min="7948" max="7948" width="11.85546875" style="9" customWidth="1"/>
    <col min="7949" max="7949" width="10.42578125" style="9" customWidth="1"/>
    <col min="7950" max="7950" width="16.42578125" style="9" customWidth="1"/>
    <col min="7951" max="7951" width="14.140625" style="9" customWidth="1"/>
    <col min="7952" max="7952" width="15.85546875" style="9" customWidth="1"/>
    <col min="7953" max="7954" width="0" style="9" hidden="1" customWidth="1"/>
    <col min="7955" max="7955" width="11.85546875" style="9" customWidth="1"/>
    <col min="7956" max="7956" width="15.85546875" style="9" customWidth="1"/>
    <col min="7957" max="7957" width="15.42578125" style="9" customWidth="1"/>
    <col min="7958" max="7958" width="12.42578125" style="9" customWidth="1"/>
    <col min="7959" max="7959" width="11.140625" style="9" customWidth="1"/>
    <col min="7960" max="7960" width="15.42578125" style="9" customWidth="1"/>
    <col min="7961" max="7962" width="0" style="9" hidden="1" customWidth="1"/>
    <col min="7963" max="7963" width="15" style="9" customWidth="1"/>
    <col min="7964" max="7964" width="9.42578125" style="9" customWidth="1"/>
    <col min="7965" max="7965" width="10.5703125" style="9" customWidth="1"/>
    <col min="7966" max="7966" width="9.5703125" style="9" customWidth="1"/>
    <col min="7967" max="7967" width="11.42578125" style="9" customWidth="1"/>
    <col min="7968" max="7968" width="9.140625" style="9"/>
    <col min="7969" max="7969" width="12.5703125" style="9" bestFit="1" customWidth="1"/>
    <col min="7970" max="7970" width="20.140625" style="9" bestFit="1" customWidth="1"/>
    <col min="7971" max="8192" width="9.140625" style="9"/>
    <col min="8193" max="8193" width="5.42578125" style="9" customWidth="1"/>
    <col min="8194" max="8194" width="45.140625" style="9" customWidth="1"/>
    <col min="8195" max="8195" width="15.140625" style="9" customWidth="1"/>
    <col min="8196" max="8196" width="16.42578125" style="9" customWidth="1"/>
    <col min="8197" max="8197" width="17.140625" style="9" customWidth="1"/>
    <col min="8198" max="8200" width="0" style="9" hidden="1" customWidth="1"/>
    <col min="8201" max="8202" width="15.85546875" style="9" customWidth="1"/>
    <col min="8203" max="8203" width="11.140625" style="9" customWidth="1"/>
    <col min="8204" max="8204" width="11.85546875" style="9" customWidth="1"/>
    <col min="8205" max="8205" width="10.42578125" style="9" customWidth="1"/>
    <col min="8206" max="8206" width="16.42578125" style="9" customWidth="1"/>
    <col min="8207" max="8207" width="14.140625" style="9" customWidth="1"/>
    <col min="8208" max="8208" width="15.85546875" style="9" customWidth="1"/>
    <col min="8209" max="8210" width="0" style="9" hidden="1" customWidth="1"/>
    <col min="8211" max="8211" width="11.85546875" style="9" customWidth="1"/>
    <col min="8212" max="8212" width="15.85546875" style="9" customWidth="1"/>
    <col min="8213" max="8213" width="15.42578125" style="9" customWidth="1"/>
    <col min="8214" max="8214" width="12.42578125" style="9" customWidth="1"/>
    <col min="8215" max="8215" width="11.140625" style="9" customWidth="1"/>
    <col min="8216" max="8216" width="15.42578125" style="9" customWidth="1"/>
    <col min="8217" max="8218" width="0" style="9" hidden="1" customWidth="1"/>
    <col min="8219" max="8219" width="15" style="9" customWidth="1"/>
    <col min="8220" max="8220" width="9.42578125" style="9" customWidth="1"/>
    <col min="8221" max="8221" width="10.5703125" style="9" customWidth="1"/>
    <col min="8222" max="8222" width="9.5703125" style="9" customWidth="1"/>
    <col min="8223" max="8223" width="11.42578125" style="9" customWidth="1"/>
    <col min="8224" max="8224" width="9.140625" style="9"/>
    <col min="8225" max="8225" width="12.5703125" style="9" bestFit="1" customWidth="1"/>
    <col min="8226" max="8226" width="20.140625" style="9" bestFit="1" customWidth="1"/>
    <col min="8227" max="8448" width="9.140625" style="9"/>
    <col min="8449" max="8449" width="5.42578125" style="9" customWidth="1"/>
    <col min="8450" max="8450" width="45.140625" style="9" customWidth="1"/>
    <col min="8451" max="8451" width="15.140625" style="9" customWidth="1"/>
    <col min="8452" max="8452" width="16.42578125" style="9" customWidth="1"/>
    <col min="8453" max="8453" width="17.140625" style="9" customWidth="1"/>
    <col min="8454" max="8456" width="0" style="9" hidden="1" customWidth="1"/>
    <col min="8457" max="8458" width="15.85546875" style="9" customWidth="1"/>
    <col min="8459" max="8459" width="11.140625" style="9" customWidth="1"/>
    <col min="8460" max="8460" width="11.85546875" style="9" customWidth="1"/>
    <col min="8461" max="8461" width="10.42578125" style="9" customWidth="1"/>
    <col min="8462" max="8462" width="16.42578125" style="9" customWidth="1"/>
    <col min="8463" max="8463" width="14.140625" style="9" customWidth="1"/>
    <col min="8464" max="8464" width="15.85546875" style="9" customWidth="1"/>
    <col min="8465" max="8466" width="0" style="9" hidden="1" customWidth="1"/>
    <col min="8467" max="8467" width="11.85546875" style="9" customWidth="1"/>
    <col min="8468" max="8468" width="15.85546875" style="9" customWidth="1"/>
    <col min="8469" max="8469" width="15.42578125" style="9" customWidth="1"/>
    <col min="8470" max="8470" width="12.42578125" style="9" customWidth="1"/>
    <col min="8471" max="8471" width="11.140625" style="9" customWidth="1"/>
    <col min="8472" max="8472" width="15.42578125" style="9" customWidth="1"/>
    <col min="8473" max="8474" width="0" style="9" hidden="1" customWidth="1"/>
    <col min="8475" max="8475" width="15" style="9" customWidth="1"/>
    <col min="8476" max="8476" width="9.42578125" style="9" customWidth="1"/>
    <col min="8477" max="8477" width="10.5703125" style="9" customWidth="1"/>
    <col min="8478" max="8478" width="9.5703125" style="9" customWidth="1"/>
    <col min="8479" max="8479" width="11.42578125" style="9" customWidth="1"/>
    <col min="8480" max="8480" width="9.140625" style="9"/>
    <col min="8481" max="8481" width="12.5703125" style="9" bestFit="1" customWidth="1"/>
    <col min="8482" max="8482" width="20.140625" style="9" bestFit="1" customWidth="1"/>
    <col min="8483" max="8704" width="9.140625" style="9"/>
    <col min="8705" max="8705" width="5.42578125" style="9" customWidth="1"/>
    <col min="8706" max="8706" width="45.140625" style="9" customWidth="1"/>
    <col min="8707" max="8707" width="15.140625" style="9" customWidth="1"/>
    <col min="8708" max="8708" width="16.42578125" style="9" customWidth="1"/>
    <col min="8709" max="8709" width="17.140625" style="9" customWidth="1"/>
    <col min="8710" max="8712" width="0" style="9" hidden="1" customWidth="1"/>
    <col min="8713" max="8714" width="15.85546875" style="9" customWidth="1"/>
    <col min="8715" max="8715" width="11.140625" style="9" customWidth="1"/>
    <col min="8716" max="8716" width="11.85546875" style="9" customWidth="1"/>
    <col min="8717" max="8717" width="10.42578125" style="9" customWidth="1"/>
    <col min="8718" max="8718" width="16.42578125" style="9" customWidth="1"/>
    <col min="8719" max="8719" width="14.140625" style="9" customWidth="1"/>
    <col min="8720" max="8720" width="15.85546875" style="9" customWidth="1"/>
    <col min="8721" max="8722" width="0" style="9" hidden="1" customWidth="1"/>
    <col min="8723" max="8723" width="11.85546875" style="9" customWidth="1"/>
    <col min="8724" max="8724" width="15.85546875" style="9" customWidth="1"/>
    <col min="8725" max="8725" width="15.42578125" style="9" customWidth="1"/>
    <col min="8726" max="8726" width="12.42578125" style="9" customWidth="1"/>
    <col min="8727" max="8727" width="11.140625" style="9" customWidth="1"/>
    <col min="8728" max="8728" width="15.42578125" style="9" customWidth="1"/>
    <col min="8729" max="8730" width="0" style="9" hidden="1" customWidth="1"/>
    <col min="8731" max="8731" width="15" style="9" customWidth="1"/>
    <col min="8732" max="8732" width="9.42578125" style="9" customWidth="1"/>
    <col min="8733" max="8733" width="10.5703125" style="9" customWidth="1"/>
    <col min="8734" max="8734" width="9.5703125" style="9" customWidth="1"/>
    <col min="8735" max="8735" width="11.42578125" style="9" customWidth="1"/>
    <col min="8736" max="8736" width="9.140625" style="9"/>
    <col min="8737" max="8737" width="12.5703125" style="9" bestFit="1" customWidth="1"/>
    <col min="8738" max="8738" width="20.140625" style="9" bestFit="1" customWidth="1"/>
    <col min="8739" max="8960" width="9.140625" style="9"/>
    <col min="8961" max="8961" width="5.42578125" style="9" customWidth="1"/>
    <col min="8962" max="8962" width="45.140625" style="9" customWidth="1"/>
    <col min="8963" max="8963" width="15.140625" style="9" customWidth="1"/>
    <col min="8964" max="8964" width="16.42578125" style="9" customWidth="1"/>
    <col min="8965" max="8965" width="17.140625" style="9" customWidth="1"/>
    <col min="8966" max="8968" width="0" style="9" hidden="1" customWidth="1"/>
    <col min="8969" max="8970" width="15.85546875" style="9" customWidth="1"/>
    <col min="8971" max="8971" width="11.140625" style="9" customWidth="1"/>
    <col min="8972" max="8972" width="11.85546875" style="9" customWidth="1"/>
    <col min="8973" max="8973" width="10.42578125" style="9" customWidth="1"/>
    <col min="8974" max="8974" width="16.42578125" style="9" customWidth="1"/>
    <col min="8975" max="8975" width="14.140625" style="9" customWidth="1"/>
    <col min="8976" max="8976" width="15.85546875" style="9" customWidth="1"/>
    <col min="8977" max="8978" width="0" style="9" hidden="1" customWidth="1"/>
    <col min="8979" max="8979" width="11.85546875" style="9" customWidth="1"/>
    <col min="8980" max="8980" width="15.85546875" style="9" customWidth="1"/>
    <col min="8981" max="8981" width="15.42578125" style="9" customWidth="1"/>
    <col min="8982" max="8982" width="12.42578125" style="9" customWidth="1"/>
    <col min="8983" max="8983" width="11.140625" style="9" customWidth="1"/>
    <col min="8984" max="8984" width="15.42578125" style="9" customWidth="1"/>
    <col min="8985" max="8986" width="0" style="9" hidden="1" customWidth="1"/>
    <col min="8987" max="8987" width="15" style="9" customWidth="1"/>
    <col min="8988" max="8988" width="9.42578125" style="9" customWidth="1"/>
    <col min="8989" max="8989" width="10.5703125" style="9" customWidth="1"/>
    <col min="8990" max="8990" width="9.5703125" style="9" customWidth="1"/>
    <col min="8991" max="8991" width="11.42578125" style="9" customWidth="1"/>
    <col min="8992" max="8992" width="9.140625" style="9"/>
    <col min="8993" max="8993" width="12.5703125" style="9" bestFit="1" customWidth="1"/>
    <col min="8994" max="8994" width="20.140625" style="9" bestFit="1" customWidth="1"/>
    <col min="8995" max="9216" width="9.140625" style="9"/>
    <col min="9217" max="9217" width="5.42578125" style="9" customWidth="1"/>
    <col min="9218" max="9218" width="45.140625" style="9" customWidth="1"/>
    <col min="9219" max="9219" width="15.140625" style="9" customWidth="1"/>
    <col min="9220" max="9220" width="16.42578125" style="9" customWidth="1"/>
    <col min="9221" max="9221" width="17.140625" style="9" customWidth="1"/>
    <col min="9222" max="9224" width="0" style="9" hidden="1" customWidth="1"/>
    <col min="9225" max="9226" width="15.85546875" style="9" customWidth="1"/>
    <col min="9227" max="9227" width="11.140625" style="9" customWidth="1"/>
    <col min="9228" max="9228" width="11.85546875" style="9" customWidth="1"/>
    <col min="9229" max="9229" width="10.42578125" style="9" customWidth="1"/>
    <col min="9230" max="9230" width="16.42578125" style="9" customWidth="1"/>
    <col min="9231" max="9231" width="14.140625" style="9" customWidth="1"/>
    <col min="9232" max="9232" width="15.85546875" style="9" customWidth="1"/>
    <col min="9233" max="9234" width="0" style="9" hidden="1" customWidth="1"/>
    <col min="9235" max="9235" width="11.85546875" style="9" customWidth="1"/>
    <col min="9236" max="9236" width="15.85546875" style="9" customWidth="1"/>
    <col min="9237" max="9237" width="15.42578125" style="9" customWidth="1"/>
    <col min="9238" max="9238" width="12.42578125" style="9" customWidth="1"/>
    <col min="9239" max="9239" width="11.140625" style="9" customWidth="1"/>
    <col min="9240" max="9240" width="15.42578125" style="9" customWidth="1"/>
    <col min="9241" max="9242" width="0" style="9" hidden="1" customWidth="1"/>
    <col min="9243" max="9243" width="15" style="9" customWidth="1"/>
    <col min="9244" max="9244" width="9.42578125" style="9" customWidth="1"/>
    <col min="9245" max="9245" width="10.5703125" style="9" customWidth="1"/>
    <col min="9246" max="9246" width="9.5703125" style="9" customWidth="1"/>
    <col min="9247" max="9247" width="11.42578125" style="9" customWidth="1"/>
    <col min="9248" max="9248" width="9.140625" style="9"/>
    <col min="9249" max="9249" width="12.5703125" style="9" bestFit="1" customWidth="1"/>
    <col min="9250" max="9250" width="20.140625" style="9" bestFit="1" customWidth="1"/>
    <col min="9251" max="9472" width="9.140625" style="9"/>
    <col min="9473" max="9473" width="5.42578125" style="9" customWidth="1"/>
    <col min="9474" max="9474" width="45.140625" style="9" customWidth="1"/>
    <col min="9475" max="9475" width="15.140625" style="9" customWidth="1"/>
    <col min="9476" max="9476" width="16.42578125" style="9" customWidth="1"/>
    <col min="9477" max="9477" width="17.140625" style="9" customWidth="1"/>
    <col min="9478" max="9480" width="0" style="9" hidden="1" customWidth="1"/>
    <col min="9481" max="9482" width="15.85546875" style="9" customWidth="1"/>
    <col min="9483" max="9483" width="11.140625" style="9" customWidth="1"/>
    <col min="9484" max="9484" width="11.85546875" style="9" customWidth="1"/>
    <col min="9485" max="9485" width="10.42578125" style="9" customWidth="1"/>
    <col min="9486" max="9486" width="16.42578125" style="9" customWidth="1"/>
    <col min="9487" max="9487" width="14.140625" style="9" customWidth="1"/>
    <col min="9488" max="9488" width="15.85546875" style="9" customWidth="1"/>
    <col min="9489" max="9490" width="0" style="9" hidden="1" customWidth="1"/>
    <col min="9491" max="9491" width="11.85546875" style="9" customWidth="1"/>
    <col min="9492" max="9492" width="15.85546875" style="9" customWidth="1"/>
    <col min="9493" max="9493" width="15.42578125" style="9" customWidth="1"/>
    <col min="9494" max="9494" width="12.42578125" style="9" customWidth="1"/>
    <col min="9495" max="9495" width="11.140625" style="9" customWidth="1"/>
    <col min="9496" max="9496" width="15.42578125" style="9" customWidth="1"/>
    <col min="9497" max="9498" width="0" style="9" hidden="1" customWidth="1"/>
    <col min="9499" max="9499" width="15" style="9" customWidth="1"/>
    <col min="9500" max="9500" width="9.42578125" style="9" customWidth="1"/>
    <col min="9501" max="9501" width="10.5703125" style="9" customWidth="1"/>
    <col min="9502" max="9502" width="9.5703125" style="9" customWidth="1"/>
    <col min="9503" max="9503" width="11.42578125" style="9" customWidth="1"/>
    <col min="9504" max="9504" width="9.140625" style="9"/>
    <col min="9505" max="9505" width="12.5703125" style="9" bestFit="1" customWidth="1"/>
    <col min="9506" max="9506" width="20.140625" style="9" bestFit="1" customWidth="1"/>
    <col min="9507" max="9728" width="9.140625" style="9"/>
    <col min="9729" max="9729" width="5.42578125" style="9" customWidth="1"/>
    <col min="9730" max="9730" width="45.140625" style="9" customWidth="1"/>
    <col min="9731" max="9731" width="15.140625" style="9" customWidth="1"/>
    <col min="9732" max="9732" width="16.42578125" style="9" customWidth="1"/>
    <col min="9733" max="9733" width="17.140625" style="9" customWidth="1"/>
    <col min="9734" max="9736" width="0" style="9" hidden="1" customWidth="1"/>
    <col min="9737" max="9738" width="15.85546875" style="9" customWidth="1"/>
    <col min="9739" max="9739" width="11.140625" style="9" customWidth="1"/>
    <col min="9740" max="9740" width="11.85546875" style="9" customWidth="1"/>
    <col min="9741" max="9741" width="10.42578125" style="9" customWidth="1"/>
    <col min="9742" max="9742" width="16.42578125" style="9" customWidth="1"/>
    <col min="9743" max="9743" width="14.140625" style="9" customWidth="1"/>
    <col min="9744" max="9744" width="15.85546875" style="9" customWidth="1"/>
    <col min="9745" max="9746" width="0" style="9" hidden="1" customWidth="1"/>
    <col min="9747" max="9747" width="11.85546875" style="9" customWidth="1"/>
    <col min="9748" max="9748" width="15.85546875" style="9" customWidth="1"/>
    <col min="9749" max="9749" width="15.42578125" style="9" customWidth="1"/>
    <col min="9750" max="9750" width="12.42578125" style="9" customWidth="1"/>
    <col min="9751" max="9751" width="11.140625" style="9" customWidth="1"/>
    <col min="9752" max="9752" width="15.42578125" style="9" customWidth="1"/>
    <col min="9753" max="9754" width="0" style="9" hidden="1" customWidth="1"/>
    <col min="9755" max="9755" width="15" style="9" customWidth="1"/>
    <col min="9756" max="9756" width="9.42578125" style="9" customWidth="1"/>
    <col min="9757" max="9757" width="10.5703125" style="9" customWidth="1"/>
    <col min="9758" max="9758" width="9.5703125" style="9" customWidth="1"/>
    <col min="9759" max="9759" width="11.42578125" style="9" customWidth="1"/>
    <col min="9760" max="9760" width="9.140625" style="9"/>
    <col min="9761" max="9761" width="12.5703125" style="9" bestFit="1" customWidth="1"/>
    <col min="9762" max="9762" width="20.140625" style="9" bestFit="1" customWidth="1"/>
    <col min="9763" max="9984" width="9.140625" style="9"/>
    <col min="9985" max="9985" width="5.42578125" style="9" customWidth="1"/>
    <col min="9986" max="9986" width="45.140625" style="9" customWidth="1"/>
    <col min="9987" max="9987" width="15.140625" style="9" customWidth="1"/>
    <col min="9988" max="9988" width="16.42578125" style="9" customWidth="1"/>
    <col min="9989" max="9989" width="17.140625" style="9" customWidth="1"/>
    <col min="9990" max="9992" width="0" style="9" hidden="1" customWidth="1"/>
    <col min="9993" max="9994" width="15.85546875" style="9" customWidth="1"/>
    <col min="9995" max="9995" width="11.140625" style="9" customWidth="1"/>
    <col min="9996" max="9996" width="11.85546875" style="9" customWidth="1"/>
    <col min="9997" max="9997" width="10.42578125" style="9" customWidth="1"/>
    <col min="9998" max="9998" width="16.42578125" style="9" customWidth="1"/>
    <col min="9999" max="9999" width="14.140625" style="9" customWidth="1"/>
    <col min="10000" max="10000" width="15.85546875" style="9" customWidth="1"/>
    <col min="10001" max="10002" width="0" style="9" hidden="1" customWidth="1"/>
    <col min="10003" max="10003" width="11.85546875" style="9" customWidth="1"/>
    <col min="10004" max="10004" width="15.85546875" style="9" customWidth="1"/>
    <col min="10005" max="10005" width="15.42578125" style="9" customWidth="1"/>
    <col min="10006" max="10006" width="12.42578125" style="9" customWidth="1"/>
    <col min="10007" max="10007" width="11.140625" style="9" customWidth="1"/>
    <col min="10008" max="10008" width="15.42578125" style="9" customWidth="1"/>
    <col min="10009" max="10010" width="0" style="9" hidden="1" customWidth="1"/>
    <col min="10011" max="10011" width="15" style="9" customWidth="1"/>
    <col min="10012" max="10012" width="9.42578125" style="9" customWidth="1"/>
    <col min="10013" max="10013" width="10.5703125" style="9" customWidth="1"/>
    <col min="10014" max="10014" width="9.5703125" style="9" customWidth="1"/>
    <col min="10015" max="10015" width="11.42578125" style="9" customWidth="1"/>
    <col min="10016" max="10016" width="9.140625" style="9"/>
    <col min="10017" max="10017" width="12.5703125" style="9" bestFit="1" customWidth="1"/>
    <col min="10018" max="10018" width="20.140625" style="9" bestFit="1" customWidth="1"/>
    <col min="10019" max="10240" width="9.140625" style="9"/>
    <col min="10241" max="10241" width="5.42578125" style="9" customWidth="1"/>
    <col min="10242" max="10242" width="45.140625" style="9" customWidth="1"/>
    <col min="10243" max="10243" width="15.140625" style="9" customWidth="1"/>
    <col min="10244" max="10244" width="16.42578125" style="9" customWidth="1"/>
    <col min="10245" max="10245" width="17.140625" style="9" customWidth="1"/>
    <col min="10246" max="10248" width="0" style="9" hidden="1" customWidth="1"/>
    <col min="10249" max="10250" width="15.85546875" style="9" customWidth="1"/>
    <col min="10251" max="10251" width="11.140625" style="9" customWidth="1"/>
    <col min="10252" max="10252" width="11.85546875" style="9" customWidth="1"/>
    <col min="10253" max="10253" width="10.42578125" style="9" customWidth="1"/>
    <col min="10254" max="10254" width="16.42578125" style="9" customWidth="1"/>
    <col min="10255" max="10255" width="14.140625" style="9" customWidth="1"/>
    <col min="10256" max="10256" width="15.85546875" style="9" customWidth="1"/>
    <col min="10257" max="10258" width="0" style="9" hidden="1" customWidth="1"/>
    <col min="10259" max="10259" width="11.85546875" style="9" customWidth="1"/>
    <col min="10260" max="10260" width="15.85546875" style="9" customWidth="1"/>
    <col min="10261" max="10261" width="15.42578125" style="9" customWidth="1"/>
    <col min="10262" max="10262" width="12.42578125" style="9" customWidth="1"/>
    <col min="10263" max="10263" width="11.140625" style="9" customWidth="1"/>
    <col min="10264" max="10264" width="15.42578125" style="9" customWidth="1"/>
    <col min="10265" max="10266" width="0" style="9" hidden="1" customWidth="1"/>
    <col min="10267" max="10267" width="15" style="9" customWidth="1"/>
    <col min="10268" max="10268" width="9.42578125" style="9" customWidth="1"/>
    <col min="10269" max="10269" width="10.5703125" style="9" customWidth="1"/>
    <col min="10270" max="10270" width="9.5703125" style="9" customWidth="1"/>
    <col min="10271" max="10271" width="11.42578125" style="9" customWidth="1"/>
    <col min="10272" max="10272" width="9.140625" style="9"/>
    <col min="10273" max="10273" width="12.5703125" style="9" bestFit="1" customWidth="1"/>
    <col min="10274" max="10274" width="20.140625" style="9" bestFit="1" customWidth="1"/>
    <col min="10275" max="10496" width="9.140625" style="9"/>
    <col min="10497" max="10497" width="5.42578125" style="9" customWidth="1"/>
    <col min="10498" max="10498" width="45.140625" style="9" customWidth="1"/>
    <col min="10499" max="10499" width="15.140625" style="9" customWidth="1"/>
    <col min="10500" max="10500" width="16.42578125" style="9" customWidth="1"/>
    <col min="10501" max="10501" width="17.140625" style="9" customWidth="1"/>
    <col min="10502" max="10504" width="0" style="9" hidden="1" customWidth="1"/>
    <col min="10505" max="10506" width="15.85546875" style="9" customWidth="1"/>
    <col min="10507" max="10507" width="11.140625" style="9" customWidth="1"/>
    <col min="10508" max="10508" width="11.85546875" style="9" customWidth="1"/>
    <col min="10509" max="10509" width="10.42578125" style="9" customWidth="1"/>
    <col min="10510" max="10510" width="16.42578125" style="9" customWidth="1"/>
    <col min="10511" max="10511" width="14.140625" style="9" customWidth="1"/>
    <col min="10512" max="10512" width="15.85546875" style="9" customWidth="1"/>
    <col min="10513" max="10514" width="0" style="9" hidden="1" customWidth="1"/>
    <col min="10515" max="10515" width="11.85546875" style="9" customWidth="1"/>
    <col min="10516" max="10516" width="15.85546875" style="9" customWidth="1"/>
    <col min="10517" max="10517" width="15.42578125" style="9" customWidth="1"/>
    <col min="10518" max="10518" width="12.42578125" style="9" customWidth="1"/>
    <col min="10519" max="10519" width="11.140625" style="9" customWidth="1"/>
    <col min="10520" max="10520" width="15.42578125" style="9" customWidth="1"/>
    <col min="10521" max="10522" width="0" style="9" hidden="1" customWidth="1"/>
    <col min="10523" max="10523" width="15" style="9" customWidth="1"/>
    <col min="10524" max="10524" width="9.42578125" style="9" customWidth="1"/>
    <col min="10525" max="10525" width="10.5703125" style="9" customWidth="1"/>
    <col min="10526" max="10526" width="9.5703125" style="9" customWidth="1"/>
    <col min="10527" max="10527" width="11.42578125" style="9" customWidth="1"/>
    <col min="10528" max="10528" width="9.140625" style="9"/>
    <col min="10529" max="10529" width="12.5703125" style="9" bestFit="1" customWidth="1"/>
    <col min="10530" max="10530" width="20.140625" style="9" bestFit="1" customWidth="1"/>
    <col min="10531" max="10752" width="9.140625" style="9"/>
    <col min="10753" max="10753" width="5.42578125" style="9" customWidth="1"/>
    <col min="10754" max="10754" width="45.140625" style="9" customWidth="1"/>
    <col min="10755" max="10755" width="15.140625" style="9" customWidth="1"/>
    <col min="10756" max="10756" width="16.42578125" style="9" customWidth="1"/>
    <col min="10757" max="10757" width="17.140625" style="9" customWidth="1"/>
    <col min="10758" max="10760" width="0" style="9" hidden="1" customWidth="1"/>
    <col min="10761" max="10762" width="15.85546875" style="9" customWidth="1"/>
    <col min="10763" max="10763" width="11.140625" style="9" customWidth="1"/>
    <col min="10764" max="10764" width="11.85546875" style="9" customWidth="1"/>
    <col min="10765" max="10765" width="10.42578125" style="9" customWidth="1"/>
    <col min="10766" max="10766" width="16.42578125" style="9" customWidth="1"/>
    <col min="10767" max="10767" width="14.140625" style="9" customWidth="1"/>
    <col min="10768" max="10768" width="15.85546875" style="9" customWidth="1"/>
    <col min="10769" max="10770" width="0" style="9" hidden="1" customWidth="1"/>
    <col min="10771" max="10771" width="11.85546875" style="9" customWidth="1"/>
    <col min="10772" max="10772" width="15.85546875" style="9" customWidth="1"/>
    <col min="10773" max="10773" width="15.42578125" style="9" customWidth="1"/>
    <col min="10774" max="10774" width="12.42578125" style="9" customWidth="1"/>
    <col min="10775" max="10775" width="11.140625" style="9" customWidth="1"/>
    <col min="10776" max="10776" width="15.42578125" style="9" customWidth="1"/>
    <col min="10777" max="10778" width="0" style="9" hidden="1" customWidth="1"/>
    <col min="10779" max="10779" width="15" style="9" customWidth="1"/>
    <col min="10780" max="10780" width="9.42578125" style="9" customWidth="1"/>
    <col min="10781" max="10781" width="10.5703125" style="9" customWidth="1"/>
    <col min="10782" max="10782" width="9.5703125" style="9" customWidth="1"/>
    <col min="10783" max="10783" width="11.42578125" style="9" customWidth="1"/>
    <col min="10784" max="10784" width="9.140625" style="9"/>
    <col min="10785" max="10785" width="12.5703125" style="9" bestFit="1" customWidth="1"/>
    <col min="10786" max="10786" width="20.140625" style="9" bestFit="1" customWidth="1"/>
    <col min="10787" max="11008" width="9.140625" style="9"/>
    <col min="11009" max="11009" width="5.42578125" style="9" customWidth="1"/>
    <col min="11010" max="11010" width="45.140625" style="9" customWidth="1"/>
    <col min="11011" max="11011" width="15.140625" style="9" customWidth="1"/>
    <col min="11012" max="11012" width="16.42578125" style="9" customWidth="1"/>
    <col min="11013" max="11013" width="17.140625" style="9" customWidth="1"/>
    <col min="11014" max="11016" width="0" style="9" hidden="1" customWidth="1"/>
    <col min="11017" max="11018" width="15.85546875" style="9" customWidth="1"/>
    <col min="11019" max="11019" width="11.140625" style="9" customWidth="1"/>
    <col min="11020" max="11020" width="11.85546875" style="9" customWidth="1"/>
    <col min="11021" max="11021" width="10.42578125" style="9" customWidth="1"/>
    <col min="11022" max="11022" width="16.42578125" style="9" customWidth="1"/>
    <col min="11023" max="11023" width="14.140625" style="9" customWidth="1"/>
    <col min="11024" max="11024" width="15.85546875" style="9" customWidth="1"/>
    <col min="11025" max="11026" width="0" style="9" hidden="1" customWidth="1"/>
    <col min="11027" max="11027" width="11.85546875" style="9" customWidth="1"/>
    <col min="11028" max="11028" width="15.85546875" style="9" customWidth="1"/>
    <col min="11029" max="11029" width="15.42578125" style="9" customWidth="1"/>
    <col min="11030" max="11030" width="12.42578125" style="9" customWidth="1"/>
    <col min="11031" max="11031" width="11.140625" style="9" customWidth="1"/>
    <col min="11032" max="11032" width="15.42578125" style="9" customWidth="1"/>
    <col min="11033" max="11034" width="0" style="9" hidden="1" customWidth="1"/>
    <col min="11035" max="11035" width="15" style="9" customWidth="1"/>
    <col min="11036" max="11036" width="9.42578125" style="9" customWidth="1"/>
    <col min="11037" max="11037" width="10.5703125" style="9" customWidth="1"/>
    <col min="11038" max="11038" width="9.5703125" style="9" customWidth="1"/>
    <col min="11039" max="11039" width="11.42578125" style="9" customWidth="1"/>
    <col min="11040" max="11040" width="9.140625" style="9"/>
    <col min="11041" max="11041" width="12.5703125" style="9" bestFit="1" customWidth="1"/>
    <col min="11042" max="11042" width="20.140625" style="9" bestFit="1" customWidth="1"/>
    <col min="11043" max="11264" width="9.140625" style="9"/>
    <col min="11265" max="11265" width="5.42578125" style="9" customWidth="1"/>
    <col min="11266" max="11266" width="45.140625" style="9" customWidth="1"/>
    <col min="11267" max="11267" width="15.140625" style="9" customWidth="1"/>
    <col min="11268" max="11268" width="16.42578125" style="9" customWidth="1"/>
    <col min="11269" max="11269" width="17.140625" style="9" customWidth="1"/>
    <col min="11270" max="11272" width="0" style="9" hidden="1" customWidth="1"/>
    <col min="11273" max="11274" width="15.85546875" style="9" customWidth="1"/>
    <col min="11275" max="11275" width="11.140625" style="9" customWidth="1"/>
    <col min="11276" max="11276" width="11.85546875" style="9" customWidth="1"/>
    <col min="11277" max="11277" width="10.42578125" style="9" customWidth="1"/>
    <col min="11278" max="11278" width="16.42578125" style="9" customWidth="1"/>
    <col min="11279" max="11279" width="14.140625" style="9" customWidth="1"/>
    <col min="11280" max="11280" width="15.85546875" style="9" customWidth="1"/>
    <col min="11281" max="11282" width="0" style="9" hidden="1" customWidth="1"/>
    <col min="11283" max="11283" width="11.85546875" style="9" customWidth="1"/>
    <col min="11284" max="11284" width="15.85546875" style="9" customWidth="1"/>
    <col min="11285" max="11285" width="15.42578125" style="9" customWidth="1"/>
    <col min="11286" max="11286" width="12.42578125" style="9" customWidth="1"/>
    <col min="11287" max="11287" width="11.140625" style="9" customWidth="1"/>
    <col min="11288" max="11288" width="15.42578125" style="9" customWidth="1"/>
    <col min="11289" max="11290" width="0" style="9" hidden="1" customWidth="1"/>
    <col min="11291" max="11291" width="15" style="9" customWidth="1"/>
    <col min="11292" max="11292" width="9.42578125" style="9" customWidth="1"/>
    <col min="11293" max="11293" width="10.5703125" style="9" customWidth="1"/>
    <col min="11294" max="11294" width="9.5703125" style="9" customWidth="1"/>
    <col min="11295" max="11295" width="11.42578125" style="9" customWidth="1"/>
    <col min="11296" max="11296" width="9.140625" style="9"/>
    <col min="11297" max="11297" width="12.5703125" style="9" bestFit="1" customWidth="1"/>
    <col min="11298" max="11298" width="20.140625" style="9" bestFit="1" customWidth="1"/>
    <col min="11299" max="11520" width="9.140625" style="9"/>
    <col min="11521" max="11521" width="5.42578125" style="9" customWidth="1"/>
    <col min="11522" max="11522" width="45.140625" style="9" customWidth="1"/>
    <col min="11523" max="11523" width="15.140625" style="9" customWidth="1"/>
    <col min="11524" max="11524" width="16.42578125" style="9" customWidth="1"/>
    <col min="11525" max="11525" width="17.140625" style="9" customWidth="1"/>
    <col min="11526" max="11528" width="0" style="9" hidden="1" customWidth="1"/>
    <col min="11529" max="11530" width="15.85546875" style="9" customWidth="1"/>
    <col min="11531" max="11531" width="11.140625" style="9" customWidth="1"/>
    <col min="11532" max="11532" width="11.85546875" style="9" customWidth="1"/>
    <col min="11533" max="11533" width="10.42578125" style="9" customWidth="1"/>
    <col min="11534" max="11534" width="16.42578125" style="9" customWidth="1"/>
    <col min="11535" max="11535" width="14.140625" style="9" customWidth="1"/>
    <col min="11536" max="11536" width="15.85546875" style="9" customWidth="1"/>
    <col min="11537" max="11538" width="0" style="9" hidden="1" customWidth="1"/>
    <col min="11539" max="11539" width="11.85546875" style="9" customWidth="1"/>
    <col min="11540" max="11540" width="15.85546875" style="9" customWidth="1"/>
    <col min="11541" max="11541" width="15.42578125" style="9" customWidth="1"/>
    <col min="11542" max="11542" width="12.42578125" style="9" customWidth="1"/>
    <col min="11543" max="11543" width="11.140625" style="9" customWidth="1"/>
    <col min="11544" max="11544" width="15.42578125" style="9" customWidth="1"/>
    <col min="11545" max="11546" width="0" style="9" hidden="1" customWidth="1"/>
    <col min="11547" max="11547" width="15" style="9" customWidth="1"/>
    <col min="11548" max="11548" width="9.42578125" style="9" customWidth="1"/>
    <col min="11549" max="11549" width="10.5703125" style="9" customWidth="1"/>
    <col min="11550" max="11550" width="9.5703125" style="9" customWidth="1"/>
    <col min="11551" max="11551" width="11.42578125" style="9" customWidth="1"/>
    <col min="11552" max="11552" width="9.140625" style="9"/>
    <col min="11553" max="11553" width="12.5703125" style="9" bestFit="1" customWidth="1"/>
    <col min="11554" max="11554" width="20.140625" style="9" bestFit="1" customWidth="1"/>
    <col min="11555" max="11776" width="9.140625" style="9"/>
    <col min="11777" max="11777" width="5.42578125" style="9" customWidth="1"/>
    <col min="11778" max="11778" width="45.140625" style="9" customWidth="1"/>
    <col min="11779" max="11779" width="15.140625" style="9" customWidth="1"/>
    <col min="11780" max="11780" width="16.42578125" style="9" customWidth="1"/>
    <col min="11781" max="11781" width="17.140625" style="9" customWidth="1"/>
    <col min="11782" max="11784" width="0" style="9" hidden="1" customWidth="1"/>
    <col min="11785" max="11786" width="15.85546875" style="9" customWidth="1"/>
    <col min="11787" max="11787" width="11.140625" style="9" customWidth="1"/>
    <col min="11788" max="11788" width="11.85546875" style="9" customWidth="1"/>
    <col min="11789" max="11789" width="10.42578125" style="9" customWidth="1"/>
    <col min="11790" max="11790" width="16.42578125" style="9" customWidth="1"/>
    <col min="11791" max="11791" width="14.140625" style="9" customWidth="1"/>
    <col min="11792" max="11792" width="15.85546875" style="9" customWidth="1"/>
    <col min="11793" max="11794" width="0" style="9" hidden="1" customWidth="1"/>
    <col min="11795" max="11795" width="11.85546875" style="9" customWidth="1"/>
    <col min="11796" max="11796" width="15.85546875" style="9" customWidth="1"/>
    <col min="11797" max="11797" width="15.42578125" style="9" customWidth="1"/>
    <col min="11798" max="11798" width="12.42578125" style="9" customWidth="1"/>
    <col min="11799" max="11799" width="11.140625" style="9" customWidth="1"/>
    <col min="11800" max="11800" width="15.42578125" style="9" customWidth="1"/>
    <col min="11801" max="11802" width="0" style="9" hidden="1" customWidth="1"/>
    <col min="11803" max="11803" width="15" style="9" customWidth="1"/>
    <col min="11804" max="11804" width="9.42578125" style="9" customWidth="1"/>
    <col min="11805" max="11805" width="10.5703125" style="9" customWidth="1"/>
    <col min="11806" max="11806" width="9.5703125" style="9" customWidth="1"/>
    <col min="11807" max="11807" width="11.42578125" style="9" customWidth="1"/>
    <col min="11808" max="11808" width="9.140625" style="9"/>
    <col min="11809" max="11809" width="12.5703125" style="9" bestFit="1" customWidth="1"/>
    <col min="11810" max="11810" width="20.140625" style="9" bestFit="1" customWidth="1"/>
    <col min="11811" max="12032" width="9.140625" style="9"/>
    <col min="12033" max="12033" width="5.42578125" style="9" customWidth="1"/>
    <col min="12034" max="12034" width="45.140625" style="9" customWidth="1"/>
    <col min="12035" max="12035" width="15.140625" style="9" customWidth="1"/>
    <col min="12036" max="12036" width="16.42578125" style="9" customWidth="1"/>
    <col min="12037" max="12037" width="17.140625" style="9" customWidth="1"/>
    <col min="12038" max="12040" width="0" style="9" hidden="1" customWidth="1"/>
    <col min="12041" max="12042" width="15.85546875" style="9" customWidth="1"/>
    <col min="12043" max="12043" width="11.140625" style="9" customWidth="1"/>
    <col min="12044" max="12044" width="11.85546875" style="9" customWidth="1"/>
    <col min="12045" max="12045" width="10.42578125" style="9" customWidth="1"/>
    <col min="12046" max="12046" width="16.42578125" style="9" customWidth="1"/>
    <col min="12047" max="12047" width="14.140625" style="9" customWidth="1"/>
    <col min="12048" max="12048" width="15.85546875" style="9" customWidth="1"/>
    <col min="12049" max="12050" width="0" style="9" hidden="1" customWidth="1"/>
    <col min="12051" max="12051" width="11.85546875" style="9" customWidth="1"/>
    <col min="12052" max="12052" width="15.85546875" style="9" customWidth="1"/>
    <col min="12053" max="12053" width="15.42578125" style="9" customWidth="1"/>
    <col min="12054" max="12054" width="12.42578125" style="9" customWidth="1"/>
    <col min="12055" max="12055" width="11.140625" style="9" customWidth="1"/>
    <col min="12056" max="12056" width="15.42578125" style="9" customWidth="1"/>
    <col min="12057" max="12058" width="0" style="9" hidden="1" customWidth="1"/>
    <col min="12059" max="12059" width="15" style="9" customWidth="1"/>
    <col min="12060" max="12060" width="9.42578125" style="9" customWidth="1"/>
    <col min="12061" max="12061" width="10.5703125" style="9" customWidth="1"/>
    <col min="12062" max="12062" width="9.5703125" style="9" customWidth="1"/>
    <col min="12063" max="12063" width="11.42578125" style="9" customWidth="1"/>
    <col min="12064" max="12064" width="9.140625" style="9"/>
    <col min="12065" max="12065" width="12.5703125" style="9" bestFit="1" customWidth="1"/>
    <col min="12066" max="12066" width="20.140625" style="9" bestFit="1" customWidth="1"/>
    <col min="12067" max="12288" width="9.140625" style="9"/>
    <col min="12289" max="12289" width="5.42578125" style="9" customWidth="1"/>
    <col min="12290" max="12290" width="45.140625" style="9" customWidth="1"/>
    <col min="12291" max="12291" width="15.140625" style="9" customWidth="1"/>
    <col min="12292" max="12292" width="16.42578125" style="9" customWidth="1"/>
    <col min="12293" max="12293" width="17.140625" style="9" customWidth="1"/>
    <col min="12294" max="12296" width="0" style="9" hidden="1" customWidth="1"/>
    <col min="12297" max="12298" width="15.85546875" style="9" customWidth="1"/>
    <col min="12299" max="12299" width="11.140625" style="9" customWidth="1"/>
    <col min="12300" max="12300" width="11.85546875" style="9" customWidth="1"/>
    <col min="12301" max="12301" width="10.42578125" style="9" customWidth="1"/>
    <col min="12302" max="12302" width="16.42578125" style="9" customWidth="1"/>
    <col min="12303" max="12303" width="14.140625" style="9" customWidth="1"/>
    <col min="12304" max="12304" width="15.85546875" style="9" customWidth="1"/>
    <col min="12305" max="12306" width="0" style="9" hidden="1" customWidth="1"/>
    <col min="12307" max="12307" width="11.85546875" style="9" customWidth="1"/>
    <col min="12308" max="12308" width="15.85546875" style="9" customWidth="1"/>
    <col min="12309" max="12309" width="15.42578125" style="9" customWidth="1"/>
    <col min="12310" max="12310" width="12.42578125" style="9" customWidth="1"/>
    <col min="12311" max="12311" width="11.140625" style="9" customWidth="1"/>
    <col min="12312" max="12312" width="15.42578125" style="9" customWidth="1"/>
    <col min="12313" max="12314" width="0" style="9" hidden="1" customWidth="1"/>
    <col min="12315" max="12315" width="15" style="9" customWidth="1"/>
    <col min="12316" max="12316" width="9.42578125" style="9" customWidth="1"/>
    <col min="12317" max="12317" width="10.5703125" style="9" customWidth="1"/>
    <col min="12318" max="12318" width="9.5703125" style="9" customWidth="1"/>
    <col min="12319" max="12319" width="11.42578125" style="9" customWidth="1"/>
    <col min="12320" max="12320" width="9.140625" style="9"/>
    <col min="12321" max="12321" width="12.5703125" style="9" bestFit="1" customWidth="1"/>
    <col min="12322" max="12322" width="20.140625" style="9" bestFit="1" customWidth="1"/>
    <col min="12323" max="12544" width="9.140625" style="9"/>
    <col min="12545" max="12545" width="5.42578125" style="9" customWidth="1"/>
    <col min="12546" max="12546" width="45.140625" style="9" customWidth="1"/>
    <col min="12547" max="12547" width="15.140625" style="9" customWidth="1"/>
    <col min="12548" max="12548" width="16.42578125" style="9" customWidth="1"/>
    <col min="12549" max="12549" width="17.140625" style="9" customWidth="1"/>
    <col min="12550" max="12552" width="0" style="9" hidden="1" customWidth="1"/>
    <col min="12553" max="12554" width="15.85546875" style="9" customWidth="1"/>
    <col min="12555" max="12555" width="11.140625" style="9" customWidth="1"/>
    <col min="12556" max="12556" width="11.85546875" style="9" customWidth="1"/>
    <col min="12557" max="12557" width="10.42578125" style="9" customWidth="1"/>
    <col min="12558" max="12558" width="16.42578125" style="9" customWidth="1"/>
    <col min="12559" max="12559" width="14.140625" style="9" customWidth="1"/>
    <col min="12560" max="12560" width="15.85546875" style="9" customWidth="1"/>
    <col min="12561" max="12562" width="0" style="9" hidden="1" customWidth="1"/>
    <col min="12563" max="12563" width="11.85546875" style="9" customWidth="1"/>
    <col min="12564" max="12564" width="15.85546875" style="9" customWidth="1"/>
    <col min="12565" max="12565" width="15.42578125" style="9" customWidth="1"/>
    <col min="12566" max="12566" width="12.42578125" style="9" customWidth="1"/>
    <col min="12567" max="12567" width="11.140625" style="9" customWidth="1"/>
    <col min="12568" max="12568" width="15.42578125" style="9" customWidth="1"/>
    <col min="12569" max="12570" width="0" style="9" hidden="1" customWidth="1"/>
    <col min="12571" max="12571" width="15" style="9" customWidth="1"/>
    <col min="12572" max="12572" width="9.42578125" style="9" customWidth="1"/>
    <col min="12573" max="12573" width="10.5703125" style="9" customWidth="1"/>
    <col min="12574" max="12574" width="9.5703125" style="9" customWidth="1"/>
    <col min="12575" max="12575" width="11.42578125" style="9" customWidth="1"/>
    <col min="12576" max="12576" width="9.140625" style="9"/>
    <col min="12577" max="12577" width="12.5703125" style="9" bestFit="1" customWidth="1"/>
    <col min="12578" max="12578" width="20.140625" style="9" bestFit="1" customWidth="1"/>
    <col min="12579" max="12800" width="9.140625" style="9"/>
    <col min="12801" max="12801" width="5.42578125" style="9" customWidth="1"/>
    <col min="12802" max="12802" width="45.140625" style="9" customWidth="1"/>
    <col min="12803" max="12803" width="15.140625" style="9" customWidth="1"/>
    <col min="12804" max="12804" width="16.42578125" style="9" customWidth="1"/>
    <col min="12805" max="12805" width="17.140625" style="9" customWidth="1"/>
    <col min="12806" max="12808" width="0" style="9" hidden="1" customWidth="1"/>
    <col min="12809" max="12810" width="15.85546875" style="9" customWidth="1"/>
    <col min="12811" max="12811" width="11.140625" style="9" customWidth="1"/>
    <col min="12812" max="12812" width="11.85546875" style="9" customWidth="1"/>
    <col min="12813" max="12813" width="10.42578125" style="9" customWidth="1"/>
    <col min="12814" max="12814" width="16.42578125" style="9" customWidth="1"/>
    <col min="12815" max="12815" width="14.140625" style="9" customWidth="1"/>
    <col min="12816" max="12816" width="15.85546875" style="9" customWidth="1"/>
    <col min="12817" max="12818" width="0" style="9" hidden="1" customWidth="1"/>
    <col min="12819" max="12819" width="11.85546875" style="9" customWidth="1"/>
    <col min="12820" max="12820" width="15.85546875" style="9" customWidth="1"/>
    <col min="12821" max="12821" width="15.42578125" style="9" customWidth="1"/>
    <col min="12822" max="12822" width="12.42578125" style="9" customWidth="1"/>
    <col min="12823" max="12823" width="11.140625" style="9" customWidth="1"/>
    <col min="12824" max="12824" width="15.42578125" style="9" customWidth="1"/>
    <col min="12825" max="12826" width="0" style="9" hidden="1" customWidth="1"/>
    <col min="12827" max="12827" width="15" style="9" customWidth="1"/>
    <col min="12828" max="12828" width="9.42578125" style="9" customWidth="1"/>
    <col min="12829" max="12829" width="10.5703125" style="9" customWidth="1"/>
    <col min="12830" max="12830" width="9.5703125" style="9" customWidth="1"/>
    <col min="12831" max="12831" width="11.42578125" style="9" customWidth="1"/>
    <col min="12832" max="12832" width="9.140625" style="9"/>
    <col min="12833" max="12833" width="12.5703125" style="9" bestFit="1" customWidth="1"/>
    <col min="12834" max="12834" width="20.140625" style="9" bestFit="1" customWidth="1"/>
    <col min="12835" max="13056" width="9.140625" style="9"/>
    <col min="13057" max="13057" width="5.42578125" style="9" customWidth="1"/>
    <col min="13058" max="13058" width="45.140625" style="9" customWidth="1"/>
    <col min="13059" max="13059" width="15.140625" style="9" customWidth="1"/>
    <col min="13060" max="13060" width="16.42578125" style="9" customWidth="1"/>
    <col min="13061" max="13061" width="17.140625" style="9" customWidth="1"/>
    <col min="13062" max="13064" width="0" style="9" hidden="1" customWidth="1"/>
    <col min="13065" max="13066" width="15.85546875" style="9" customWidth="1"/>
    <col min="13067" max="13067" width="11.140625" style="9" customWidth="1"/>
    <col min="13068" max="13068" width="11.85546875" style="9" customWidth="1"/>
    <col min="13069" max="13069" width="10.42578125" style="9" customWidth="1"/>
    <col min="13070" max="13070" width="16.42578125" style="9" customWidth="1"/>
    <col min="13071" max="13071" width="14.140625" style="9" customWidth="1"/>
    <col min="13072" max="13072" width="15.85546875" style="9" customWidth="1"/>
    <col min="13073" max="13074" width="0" style="9" hidden="1" customWidth="1"/>
    <col min="13075" max="13075" width="11.85546875" style="9" customWidth="1"/>
    <col min="13076" max="13076" width="15.85546875" style="9" customWidth="1"/>
    <col min="13077" max="13077" width="15.42578125" style="9" customWidth="1"/>
    <col min="13078" max="13078" width="12.42578125" style="9" customWidth="1"/>
    <col min="13079" max="13079" width="11.140625" style="9" customWidth="1"/>
    <col min="13080" max="13080" width="15.42578125" style="9" customWidth="1"/>
    <col min="13081" max="13082" width="0" style="9" hidden="1" customWidth="1"/>
    <col min="13083" max="13083" width="15" style="9" customWidth="1"/>
    <col min="13084" max="13084" width="9.42578125" style="9" customWidth="1"/>
    <col min="13085" max="13085" width="10.5703125" style="9" customWidth="1"/>
    <col min="13086" max="13086" width="9.5703125" style="9" customWidth="1"/>
    <col min="13087" max="13087" width="11.42578125" style="9" customWidth="1"/>
    <col min="13088" max="13088" width="9.140625" style="9"/>
    <col min="13089" max="13089" width="12.5703125" style="9" bestFit="1" customWidth="1"/>
    <col min="13090" max="13090" width="20.140625" style="9" bestFit="1" customWidth="1"/>
    <col min="13091" max="13312" width="9.140625" style="9"/>
    <col min="13313" max="13313" width="5.42578125" style="9" customWidth="1"/>
    <col min="13314" max="13314" width="45.140625" style="9" customWidth="1"/>
    <col min="13315" max="13315" width="15.140625" style="9" customWidth="1"/>
    <col min="13316" max="13316" width="16.42578125" style="9" customWidth="1"/>
    <col min="13317" max="13317" width="17.140625" style="9" customWidth="1"/>
    <col min="13318" max="13320" width="0" style="9" hidden="1" customWidth="1"/>
    <col min="13321" max="13322" width="15.85546875" style="9" customWidth="1"/>
    <col min="13323" max="13323" width="11.140625" style="9" customWidth="1"/>
    <col min="13324" max="13324" width="11.85546875" style="9" customWidth="1"/>
    <col min="13325" max="13325" width="10.42578125" style="9" customWidth="1"/>
    <col min="13326" max="13326" width="16.42578125" style="9" customWidth="1"/>
    <col min="13327" max="13327" width="14.140625" style="9" customWidth="1"/>
    <col min="13328" max="13328" width="15.85546875" style="9" customWidth="1"/>
    <col min="13329" max="13330" width="0" style="9" hidden="1" customWidth="1"/>
    <col min="13331" max="13331" width="11.85546875" style="9" customWidth="1"/>
    <col min="13332" max="13332" width="15.85546875" style="9" customWidth="1"/>
    <col min="13333" max="13333" width="15.42578125" style="9" customWidth="1"/>
    <col min="13334" max="13334" width="12.42578125" style="9" customWidth="1"/>
    <col min="13335" max="13335" width="11.140625" style="9" customWidth="1"/>
    <col min="13336" max="13336" width="15.42578125" style="9" customWidth="1"/>
    <col min="13337" max="13338" width="0" style="9" hidden="1" customWidth="1"/>
    <col min="13339" max="13339" width="15" style="9" customWidth="1"/>
    <col min="13340" max="13340" width="9.42578125" style="9" customWidth="1"/>
    <col min="13341" max="13341" width="10.5703125" style="9" customWidth="1"/>
    <col min="13342" max="13342" width="9.5703125" style="9" customWidth="1"/>
    <col min="13343" max="13343" width="11.42578125" style="9" customWidth="1"/>
    <col min="13344" max="13344" width="9.140625" style="9"/>
    <col min="13345" max="13345" width="12.5703125" style="9" bestFit="1" customWidth="1"/>
    <col min="13346" max="13346" width="20.140625" style="9" bestFit="1" customWidth="1"/>
    <col min="13347" max="13568" width="9.140625" style="9"/>
    <col min="13569" max="13569" width="5.42578125" style="9" customWidth="1"/>
    <col min="13570" max="13570" width="45.140625" style="9" customWidth="1"/>
    <col min="13571" max="13571" width="15.140625" style="9" customWidth="1"/>
    <col min="13572" max="13572" width="16.42578125" style="9" customWidth="1"/>
    <col min="13573" max="13573" width="17.140625" style="9" customWidth="1"/>
    <col min="13574" max="13576" width="0" style="9" hidden="1" customWidth="1"/>
    <col min="13577" max="13578" width="15.85546875" style="9" customWidth="1"/>
    <col min="13579" max="13579" width="11.140625" style="9" customWidth="1"/>
    <col min="13580" max="13580" width="11.85546875" style="9" customWidth="1"/>
    <col min="13581" max="13581" width="10.42578125" style="9" customWidth="1"/>
    <col min="13582" max="13582" width="16.42578125" style="9" customWidth="1"/>
    <col min="13583" max="13583" width="14.140625" style="9" customWidth="1"/>
    <col min="13584" max="13584" width="15.85546875" style="9" customWidth="1"/>
    <col min="13585" max="13586" width="0" style="9" hidden="1" customWidth="1"/>
    <col min="13587" max="13587" width="11.85546875" style="9" customWidth="1"/>
    <col min="13588" max="13588" width="15.85546875" style="9" customWidth="1"/>
    <col min="13589" max="13589" width="15.42578125" style="9" customWidth="1"/>
    <col min="13590" max="13590" width="12.42578125" style="9" customWidth="1"/>
    <col min="13591" max="13591" width="11.140625" style="9" customWidth="1"/>
    <col min="13592" max="13592" width="15.42578125" style="9" customWidth="1"/>
    <col min="13593" max="13594" width="0" style="9" hidden="1" customWidth="1"/>
    <col min="13595" max="13595" width="15" style="9" customWidth="1"/>
    <col min="13596" max="13596" width="9.42578125" style="9" customWidth="1"/>
    <col min="13597" max="13597" width="10.5703125" style="9" customWidth="1"/>
    <col min="13598" max="13598" width="9.5703125" style="9" customWidth="1"/>
    <col min="13599" max="13599" width="11.42578125" style="9" customWidth="1"/>
    <col min="13600" max="13600" width="9.140625" style="9"/>
    <col min="13601" max="13601" width="12.5703125" style="9" bestFit="1" customWidth="1"/>
    <col min="13602" max="13602" width="20.140625" style="9" bestFit="1" customWidth="1"/>
    <col min="13603" max="13824" width="9.140625" style="9"/>
    <col min="13825" max="13825" width="5.42578125" style="9" customWidth="1"/>
    <col min="13826" max="13826" width="45.140625" style="9" customWidth="1"/>
    <col min="13827" max="13827" width="15.140625" style="9" customWidth="1"/>
    <col min="13828" max="13828" width="16.42578125" style="9" customWidth="1"/>
    <col min="13829" max="13829" width="17.140625" style="9" customWidth="1"/>
    <col min="13830" max="13832" width="0" style="9" hidden="1" customWidth="1"/>
    <col min="13833" max="13834" width="15.85546875" style="9" customWidth="1"/>
    <col min="13835" max="13835" width="11.140625" style="9" customWidth="1"/>
    <col min="13836" max="13836" width="11.85546875" style="9" customWidth="1"/>
    <col min="13837" max="13837" width="10.42578125" style="9" customWidth="1"/>
    <col min="13838" max="13838" width="16.42578125" style="9" customWidth="1"/>
    <col min="13839" max="13839" width="14.140625" style="9" customWidth="1"/>
    <col min="13840" max="13840" width="15.85546875" style="9" customWidth="1"/>
    <col min="13841" max="13842" width="0" style="9" hidden="1" customWidth="1"/>
    <col min="13843" max="13843" width="11.85546875" style="9" customWidth="1"/>
    <col min="13844" max="13844" width="15.85546875" style="9" customWidth="1"/>
    <col min="13845" max="13845" width="15.42578125" style="9" customWidth="1"/>
    <col min="13846" max="13846" width="12.42578125" style="9" customWidth="1"/>
    <col min="13847" max="13847" width="11.140625" style="9" customWidth="1"/>
    <col min="13848" max="13848" width="15.42578125" style="9" customWidth="1"/>
    <col min="13849" max="13850" width="0" style="9" hidden="1" customWidth="1"/>
    <col min="13851" max="13851" width="15" style="9" customWidth="1"/>
    <col min="13852" max="13852" width="9.42578125" style="9" customWidth="1"/>
    <col min="13853" max="13853" width="10.5703125" style="9" customWidth="1"/>
    <col min="13854" max="13854" width="9.5703125" style="9" customWidth="1"/>
    <col min="13855" max="13855" width="11.42578125" style="9" customWidth="1"/>
    <col min="13856" max="13856" width="9.140625" style="9"/>
    <col min="13857" max="13857" width="12.5703125" style="9" bestFit="1" customWidth="1"/>
    <col min="13858" max="13858" width="20.140625" style="9" bestFit="1" customWidth="1"/>
    <col min="13859" max="14080" width="9.140625" style="9"/>
    <col min="14081" max="14081" width="5.42578125" style="9" customWidth="1"/>
    <col min="14082" max="14082" width="45.140625" style="9" customWidth="1"/>
    <col min="14083" max="14083" width="15.140625" style="9" customWidth="1"/>
    <col min="14084" max="14084" width="16.42578125" style="9" customWidth="1"/>
    <col min="14085" max="14085" width="17.140625" style="9" customWidth="1"/>
    <col min="14086" max="14088" width="0" style="9" hidden="1" customWidth="1"/>
    <col min="14089" max="14090" width="15.85546875" style="9" customWidth="1"/>
    <col min="14091" max="14091" width="11.140625" style="9" customWidth="1"/>
    <col min="14092" max="14092" width="11.85546875" style="9" customWidth="1"/>
    <col min="14093" max="14093" width="10.42578125" style="9" customWidth="1"/>
    <col min="14094" max="14094" width="16.42578125" style="9" customWidth="1"/>
    <col min="14095" max="14095" width="14.140625" style="9" customWidth="1"/>
    <col min="14096" max="14096" width="15.85546875" style="9" customWidth="1"/>
    <col min="14097" max="14098" width="0" style="9" hidden="1" customWidth="1"/>
    <col min="14099" max="14099" width="11.85546875" style="9" customWidth="1"/>
    <col min="14100" max="14100" width="15.85546875" style="9" customWidth="1"/>
    <col min="14101" max="14101" width="15.42578125" style="9" customWidth="1"/>
    <col min="14102" max="14102" width="12.42578125" style="9" customWidth="1"/>
    <col min="14103" max="14103" width="11.140625" style="9" customWidth="1"/>
    <col min="14104" max="14104" width="15.42578125" style="9" customWidth="1"/>
    <col min="14105" max="14106" width="0" style="9" hidden="1" customWidth="1"/>
    <col min="14107" max="14107" width="15" style="9" customWidth="1"/>
    <col min="14108" max="14108" width="9.42578125" style="9" customWidth="1"/>
    <col min="14109" max="14109" width="10.5703125" style="9" customWidth="1"/>
    <col min="14110" max="14110" width="9.5703125" style="9" customWidth="1"/>
    <col min="14111" max="14111" width="11.42578125" style="9" customWidth="1"/>
    <col min="14112" max="14112" width="9.140625" style="9"/>
    <col min="14113" max="14113" width="12.5703125" style="9" bestFit="1" customWidth="1"/>
    <col min="14114" max="14114" width="20.140625" style="9" bestFit="1" customWidth="1"/>
    <col min="14115" max="14336" width="9.140625" style="9"/>
    <col min="14337" max="14337" width="5.42578125" style="9" customWidth="1"/>
    <col min="14338" max="14338" width="45.140625" style="9" customWidth="1"/>
    <col min="14339" max="14339" width="15.140625" style="9" customWidth="1"/>
    <col min="14340" max="14340" width="16.42578125" style="9" customWidth="1"/>
    <col min="14341" max="14341" width="17.140625" style="9" customWidth="1"/>
    <col min="14342" max="14344" width="0" style="9" hidden="1" customWidth="1"/>
    <col min="14345" max="14346" width="15.85546875" style="9" customWidth="1"/>
    <col min="14347" max="14347" width="11.140625" style="9" customWidth="1"/>
    <col min="14348" max="14348" width="11.85546875" style="9" customWidth="1"/>
    <col min="14349" max="14349" width="10.42578125" style="9" customWidth="1"/>
    <col min="14350" max="14350" width="16.42578125" style="9" customWidth="1"/>
    <col min="14351" max="14351" width="14.140625" style="9" customWidth="1"/>
    <col min="14352" max="14352" width="15.85546875" style="9" customWidth="1"/>
    <col min="14353" max="14354" width="0" style="9" hidden="1" customWidth="1"/>
    <col min="14355" max="14355" width="11.85546875" style="9" customWidth="1"/>
    <col min="14356" max="14356" width="15.85546875" style="9" customWidth="1"/>
    <col min="14357" max="14357" width="15.42578125" style="9" customWidth="1"/>
    <col min="14358" max="14358" width="12.42578125" style="9" customWidth="1"/>
    <col min="14359" max="14359" width="11.140625" style="9" customWidth="1"/>
    <col min="14360" max="14360" width="15.42578125" style="9" customWidth="1"/>
    <col min="14361" max="14362" width="0" style="9" hidden="1" customWidth="1"/>
    <col min="14363" max="14363" width="15" style="9" customWidth="1"/>
    <col min="14364" max="14364" width="9.42578125" style="9" customWidth="1"/>
    <col min="14365" max="14365" width="10.5703125" style="9" customWidth="1"/>
    <col min="14366" max="14366" width="9.5703125" style="9" customWidth="1"/>
    <col min="14367" max="14367" width="11.42578125" style="9" customWidth="1"/>
    <col min="14368" max="14368" width="9.140625" style="9"/>
    <col min="14369" max="14369" width="12.5703125" style="9" bestFit="1" customWidth="1"/>
    <col min="14370" max="14370" width="20.140625" style="9" bestFit="1" customWidth="1"/>
    <col min="14371" max="14592" width="9.140625" style="9"/>
    <col min="14593" max="14593" width="5.42578125" style="9" customWidth="1"/>
    <col min="14594" max="14594" width="45.140625" style="9" customWidth="1"/>
    <col min="14595" max="14595" width="15.140625" style="9" customWidth="1"/>
    <col min="14596" max="14596" width="16.42578125" style="9" customWidth="1"/>
    <col min="14597" max="14597" width="17.140625" style="9" customWidth="1"/>
    <col min="14598" max="14600" width="0" style="9" hidden="1" customWidth="1"/>
    <col min="14601" max="14602" width="15.85546875" style="9" customWidth="1"/>
    <col min="14603" max="14603" width="11.140625" style="9" customWidth="1"/>
    <col min="14604" max="14604" width="11.85546875" style="9" customWidth="1"/>
    <col min="14605" max="14605" width="10.42578125" style="9" customWidth="1"/>
    <col min="14606" max="14606" width="16.42578125" style="9" customWidth="1"/>
    <col min="14607" max="14607" width="14.140625" style="9" customWidth="1"/>
    <col min="14608" max="14608" width="15.85546875" style="9" customWidth="1"/>
    <col min="14609" max="14610" width="0" style="9" hidden="1" customWidth="1"/>
    <col min="14611" max="14611" width="11.85546875" style="9" customWidth="1"/>
    <col min="14612" max="14612" width="15.85546875" style="9" customWidth="1"/>
    <col min="14613" max="14613" width="15.42578125" style="9" customWidth="1"/>
    <col min="14614" max="14614" width="12.42578125" style="9" customWidth="1"/>
    <col min="14615" max="14615" width="11.140625" style="9" customWidth="1"/>
    <col min="14616" max="14616" width="15.42578125" style="9" customWidth="1"/>
    <col min="14617" max="14618" width="0" style="9" hidden="1" customWidth="1"/>
    <col min="14619" max="14619" width="15" style="9" customWidth="1"/>
    <col min="14620" max="14620" width="9.42578125" style="9" customWidth="1"/>
    <col min="14621" max="14621" width="10.5703125" style="9" customWidth="1"/>
    <col min="14622" max="14622" width="9.5703125" style="9" customWidth="1"/>
    <col min="14623" max="14623" width="11.42578125" style="9" customWidth="1"/>
    <col min="14624" max="14624" width="9.140625" style="9"/>
    <col min="14625" max="14625" width="12.5703125" style="9" bestFit="1" customWidth="1"/>
    <col min="14626" max="14626" width="20.140625" style="9" bestFit="1" customWidth="1"/>
    <col min="14627" max="14848" width="9.140625" style="9"/>
    <col min="14849" max="14849" width="5.42578125" style="9" customWidth="1"/>
    <col min="14850" max="14850" width="45.140625" style="9" customWidth="1"/>
    <col min="14851" max="14851" width="15.140625" style="9" customWidth="1"/>
    <col min="14852" max="14852" width="16.42578125" style="9" customWidth="1"/>
    <col min="14853" max="14853" width="17.140625" style="9" customWidth="1"/>
    <col min="14854" max="14856" width="0" style="9" hidden="1" customWidth="1"/>
    <col min="14857" max="14858" width="15.85546875" style="9" customWidth="1"/>
    <col min="14859" max="14859" width="11.140625" style="9" customWidth="1"/>
    <col min="14860" max="14860" width="11.85546875" style="9" customWidth="1"/>
    <col min="14861" max="14861" width="10.42578125" style="9" customWidth="1"/>
    <col min="14862" max="14862" width="16.42578125" style="9" customWidth="1"/>
    <col min="14863" max="14863" width="14.140625" style="9" customWidth="1"/>
    <col min="14864" max="14864" width="15.85546875" style="9" customWidth="1"/>
    <col min="14865" max="14866" width="0" style="9" hidden="1" customWidth="1"/>
    <col min="14867" max="14867" width="11.85546875" style="9" customWidth="1"/>
    <col min="14868" max="14868" width="15.85546875" style="9" customWidth="1"/>
    <col min="14869" max="14869" width="15.42578125" style="9" customWidth="1"/>
    <col min="14870" max="14870" width="12.42578125" style="9" customWidth="1"/>
    <col min="14871" max="14871" width="11.140625" style="9" customWidth="1"/>
    <col min="14872" max="14872" width="15.42578125" style="9" customWidth="1"/>
    <col min="14873" max="14874" width="0" style="9" hidden="1" customWidth="1"/>
    <col min="14875" max="14875" width="15" style="9" customWidth="1"/>
    <col min="14876" max="14876" width="9.42578125" style="9" customWidth="1"/>
    <col min="14877" max="14877" width="10.5703125" style="9" customWidth="1"/>
    <col min="14878" max="14878" width="9.5703125" style="9" customWidth="1"/>
    <col min="14879" max="14879" width="11.42578125" style="9" customWidth="1"/>
    <col min="14880" max="14880" width="9.140625" style="9"/>
    <col min="14881" max="14881" width="12.5703125" style="9" bestFit="1" customWidth="1"/>
    <col min="14882" max="14882" width="20.140625" style="9" bestFit="1" customWidth="1"/>
    <col min="14883" max="15104" width="9.140625" style="9"/>
    <col min="15105" max="15105" width="5.42578125" style="9" customWidth="1"/>
    <col min="15106" max="15106" width="45.140625" style="9" customWidth="1"/>
    <col min="15107" max="15107" width="15.140625" style="9" customWidth="1"/>
    <col min="15108" max="15108" width="16.42578125" style="9" customWidth="1"/>
    <col min="15109" max="15109" width="17.140625" style="9" customWidth="1"/>
    <col min="15110" max="15112" width="0" style="9" hidden="1" customWidth="1"/>
    <col min="15113" max="15114" width="15.85546875" style="9" customWidth="1"/>
    <col min="15115" max="15115" width="11.140625" style="9" customWidth="1"/>
    <col min="15116" max="15116" width="11.85546875" style="9" customWidth="1"/>
    <col min="15117" max="15117" width="10.42578125" style="9" customWidth="1"/>
    <col min="15118" max="15118" width="16.42578125" style="9" customWidth="1"/>
    <col min="15119" max="15119" width="14.140625" style="9" customWidth="1"/>
    <col min="15120" max="15120" width="15.85546875" style="9" customWidth="1"/>
    <col min="15121" max="15122" width="0" style="9" hidden="1" customWidth="1"/>
    <col min="15123" max="15123" width="11.85546875" style="9" customWidth="1"/>
    <col min="15124" max="15124" width="15.85546875" style="9" customWidth="1"/>
    <col min="15125" max="15125" width="15.42578125" style="9" customWidth="1"/>
    <col min="15126" max="15126" width="12.42578125" style="9" customWidth="1"/>
    <col min="15127" max="15127" width="11.140625" style="9" customWidth="1"/>
    <col min="15128" max="15128" width="15.42578125" style="9" customWidth="1"/>
    <col min="15129" max="15130" width="0" style="9" hidden="1" customWidth="1"/>
    <col min="15131" max="15131" width="15" style="9" customWidth="1"/>
    <col min="15132" max="15132" width="9.42578125" style="9" customWidth="1"/>
    <col min="15133" max="15133" width="10.5703125" style="9" customWidth="1"/>
    <col min="15134" max="15134" width="9.5703125" style="9" customWidth="1"/>
    <col min="15135" max="15135" width="11.42578125" style="9" customWidth="1"/>
    <col min="15136" max="15136" width="9.140625" style="9"/>
    <col min="15137" max="15137" width="12.5703125" style="9" bestFit="1" customWidth="1"/>
    <col min="15138" max="15138" width="20.140625" style="9" bestFit="1" customWidth="1"/>
    <col min="15139" max="15360" width="9.140625" style="9"/>
    <col min="15361" max="15361" width="5.42578125" style="9" customWidth="1"/>
    <col min="15362" max="15362" width="45.140625" style="9" customWidth="1"/>
    <col min="15363" max="15363" width="15.140625" style="9" customWidth="1"/>
    <col min="15364" max="15364" width="16.42578125" style="9" customWidth="1"/>
    <col min="15365" max="15365" width="17.140625" style="9" customWidth="1"/>
    <col min="15366" max="15368" width="0" style="9" hidden="1" customWidth="1"/>
    <col min="15369" max="15370" width="15.85546875" style="9" customWidth="1"/>
    <col min="15371" max="15371" width="11.140625" style="9" customWidth="1"/>
    <col min="15372" max="15372" width="11.85546875" style="9" customWidth="1"/>
    <col min="15373" max="15373" width="10.42578125" style="9" customWidth="1"/>
    <col min="15374" max="15374" width="16.42578125" style="9" customWidth="1"/>
    <col min="15375" max="15375" width="14.140625" style="9" customWidth="1"/>
    <col min="15376" max="15376" width="15.85546875" style="9" customWidth="1"/>
    <col min="15377" max="15378" width="0" style="9" hidden="1" customWidth="1"/>
    <col min="15379" max="15379" width="11.85546875" style="9" customWidth="1"/>
    <col min="15380" max="15380" width="15.85546875" style="9" customWidth="1"/>
    <col min="15381" max="15381" width="15.42578125" style="9" customWidth="1"/>
    <col min="15382" max="15382" width="12.42578125" style="9" customWidth="1"/>
    <col min="15383" max="15383" width="11.140625" style="9" customWidth="1"/>
    <col min="15384" max="15384" width="15.42578125" style="9" customWidth="1"/>
    <col min="15385" max="15386" width="0" style="9" hidden="1" customWidth="1"/>
    <col min="15387" max="15387" width="15" style="9" customWidth="1"/>
    <col min="15388" max="15388" width="9.42578125" style="9" customWidth="1"/>
    <col min="15389" max="15389" width="10.5703125" style="9" customWidth="1"/>
    <col min="15390" max="15390" width="9.5703125" style="9" customWidth="1"/>
    <col min="15391" max="15391" width="11.42578125" style="9" customWidth="1"/>
    <col min="15392" max="15392" width="9.140625" style="9"/>
    <col min="15393" max="15393" width="12.5703125" style="9" bestFit="1" customWidth="1"/>
    <col min="15394" max="15394" width="20.140625" style="9" bestFit="1" customWidth="1"/>
    <col min="15395" max="15616" width="9.140625" style="9"/>
    <col min="15617" max="15617" width="5.42578125" style="9" customWidth="1"/>
    <col min="15618" max="15618" width="45.140625" style="9" customWidth="1"/>
    <col min="15619" max="15619" width="15.140625" style="9" customWidth="1"/>
    <col min="15620" max="15620" width="16.42578125" style="9" customWidth="1"/>
    <col min="15621" max="15621" width="17.140625" style="9" customWidth="1"/>
    <col min="15622" max="15624" width="0" style="9" hidden="1" customWidth="1"/>
    <col min="15625" max="15626" width="15.85546875" style="9" customWidth="1"/>
    <col min="15627" max="15627" width="11.140625" style="9" customWidth="1"/>
    <col min="15628" max="15628" width="11.85546875" style="9" customWidth="1"/>
    <col min="15629" max="15629" width="10.42578125" style="9" customWidth="1"/>
    <col min="15630" max="15630" width="16.42578125" style="9" customWidth="1"/>
    <col min="15631" max="15631" width="14.140625" style="9" customWidth="1"/>
    <col min="15632" max="15632" width="15.85546875" style="9" customWidth="1"/>
    <col min="15633" max="15634" width="0" style="9" hidden="1" customWidth="1"/>
    <col min="15635" max="15635" width="11.85546875" style="9" customWidth="1"/>
    <col min="15636" max="15636" width="15.85546875" style="9" customWidth="1"/>
    <col min="15637" max="15637" width="15.42578125" style="9" customWidth="1"/>
    <col min="15638" max="15638" width="12.42578125" style="9" customWidth="1"/>
    <col min="15639" max="15639" width="11.140625" style="9" customWidth="1"/>
    <col min="15640" max="15640" width="15.42578125" style="9" customWidth="1"/>
    <col min="15641" max="15642" width="0" style="9" hidden="1" customWidth="1"/>
    <col min="15643" max="15643" width="15" style="9" customWidth="1"/>
    <col min="15644" max="15644" width="9.42578125" style="9" customWidth="1"/>
    <col min="15645" max="15645" width="10.5703125" style="9" customWidth="1"/>
    <col min="15646" max="15646" width="9.5703125" style="9" customWidth="1"/>
    <col min="15647" max="15647" width="11.42578125" style="9" customWidth="1"/>
    <col min="15648" max="15648" width="9.140625" style="9"/>
    <col min="15649" max="15649" width="12.5703125" style="9" bestFit="1" customWidth="1"/>
    <col min="15650" max="15650" width="20.140625" style="9" bestFit="1" customWidth="1"/>
    <col min="15651" max="15872" width="9.140625" style="9"/>
    <col min="15873" max="15873" width="5.42578125" style="9" customWidth="1"/>
    <col min="15874" max="15874" width="45.140625" style="9" customWidth="1"/>
    <col min="15875" max="15875" width="15.140625" style="9" customWidth="1"/>
    <col min="15876" max="15876" width="16.42578125" style="9" customWidth="1"/>
    <col min="15877" max="15877" width="17.140625" style="9" customWidth="1"/>
    <col min="15878" max="15880" width="0" style="9" hidden="1" customWidth="1"/>
    <col min="15881" max="15882" width="15.85546875" style="9" customWidth="1"/>
    <col min="15883" max="15883" width="11.140625" style="9" customWidth="1"/>
    <col min="15884" max="15884" width="11.85546875" style="9" customWidth="1"/>
    <col min="15885" max="15885" width="10.42578125" style="9" customWidth="1"/>
    <col min="15886" max="15886" width="16.42578125" style="9" customWidth="1"/>
    <col min="15887" max="15887" width="14.140625" style="9" customWidth="1"/>
    <col min="15888" max="15888" width="15.85546875" style="9" customWidth="1"/>
    <col min="15889" max="15890" width="0" style="9" hidden="1" customWidth="1"/>
    <col min="15891" max="15891" width="11.85546875" style="9" customWidth="1"/>
    <col min="15892" max="15892" width="15.85546875" style="9" customWidth="1"/>
    <col min="15893" max="15893" width="15.42578125" style="9" customWidth="1"/>
    <col min="15894" max="15894" width="12.42578125" style="9" customWidth="1"/>
    <col min="15895" max="15895" width="11.140625" style="9" customWidth="1"/>
    <col min="15896" max="15896" width="15.42578125" style="9" customWidth="1"/>
    <col min="15897" max="15898" width="0" style="9" hidden="1" customWidth="1"/>
    <col min="15899" max="15899" width="15" style="9" customWidth="1"/>
    <col min="15900" max="15900" width="9.42578125" style="9" customWidth="1"/>
    <col min="15901" max="15901" width="10.5703125" style="9" customWidth="1"/>
    <col min="15902" max="15902" width="9.5703125" style="9" customWidth="1"/>
    <col min="15903" max="15903" width="11.42578125" style="9" customWidth="1"/>
    <col min="15904" max="15904" width="9.140625" style="9"/>
    <col min="15905" max="15905" width="12.5703125" style="9" bestFit="1" customWidth="1"/>
    <col min="15906" max="15906" width="20.140625" style="9" bestFit="1" customWidth="1"/>
    <col min="15907" max="16128" width="9.140625" style="9"/>
    <col min="16129" max="16129" width="5.42578125" style="9" customWidth="1"/>
    <col min="16130" max="16130" width="45.140625" style="9" customWidth="1"/>
    <col min="16131" max="16131" width="15.140625" style="9" customWidth="1"/>
    <col min="16132" max="16132" width="16.42578125" style="9" customWidth="1"/>
    <col min="16133" max="16133" width="17.140625" style="9" customWidth="1"/>
    <col min="16134" max="16136" width="0" style="9" hidden="1" customWidth="1"/>
    <col min="16137" max="16138" width="15.85546875" style="9" customWidth="1"/>
    <col min="16139" max="16139" width="11.140625" style="9" customWidth="1"/>
    <col min="16140" max="16140" width="11.85546875" style="9" customWidth="1"/>
    <col min="16141" max="16141" width="10.42578125" style="9" customWidth="1"/>
    <col min="16142" max="16142" width="16.42578125" style="9" customWidth="1"/>
    <col min="16143" max="16143" width="14.140625" style="9" customWidth="1"/>
    <col min="16144" max="16144" width="15.85546875" style="9" customWidth="1"/>
    <col min="16145" max="16146" width="0" style="9" hidden="1" customWidth="1"/>
    <col min="16147" max="16147" width="11.85546875" style="9" customWidth="1"/>
    <col min="16148" max="16148" width="15.85546875" style="9" customWidth="1"/>
    <col min="16149" max="16149" width="15.42578125" style="9" customWidth="1"/>
    <col min="16150" max="16150" width="12.42578125" style="9" customWidth="1"/>
    <col min="16151" max="16151" width="11.140625" style="9" customWidth="1"/>
    <col min="16152" max="16152" width="15.42578125" style="9" customWidth="1"/>
    <col min="16153" max="16154" width="0" style="9" hidden="1" customWidth="1"/>
    <col min="16155" max="16155" width="15" style="9" customWidth="1"/>
    <col min="16156" max="16156" width="9.42578125" style="9" customWidth="1"/>
    <col min="16157" max="16157" width="10.5703125" style="9" customWidth="1"/>
    <col min="16158" max="16158" width="9.5703125" style="9" customWidth="1"/>
    <col min="16159" max="16159" width="11.42578125" style="9" customWidth="1"/>
    <col min="16160" max="16160" width="9.140625" style="9"/>
    <col min="16161" max="16161" width="12.5703125" style="9" bestFit="1" customWidth="1"/>
    <col min="16162" max="16162" width="20.140625" style="9" bestFit="1" customWidth="1"/>
    <col min="16163" max="16384" width="9.140625" style="9"/>
  </cols>
  <sheetData>
    <row r="1" spans="1:35" ht="16.5" x14ac:dyDescent="0.25">
      <c r="A1" s="48"/>
      <c r="B1" s="52"/>
      <c r="C1" s="213"/>
      <c r="D1" s="213"/>
      <c r="E1" s="213"/>
      <c r="F1" s="213"/>
      <c r="G1" s="213"/>
      <c r="H1" s="213"/>
      <c r="I1" s="213"/>
      <c r="J1" s="213"/>
      <c r="K1" s="213"/>
      <c r="L1" s="213"/>
      <c r="M1" s="213"/>
      <c r="N1" s="213"/>
      <c r="O1" s="213"/>
      <c r="P1" s="213"/>
      <c r="Q1" s="213"/>
      <c r="R1" s="213"/>
      <c r="S1" s="213"/>
      <c r="T1" s="213"/>
      <c r="U1" s="213"/>
      <c r="V1" s="213"/>
      <c r="W1" s="213"/>
      <c r="X1" s="213"/>
      <c r="Y1" s="213"/>
      <c r="Z1" s="213"/>
      <c r="AA1" s="213"/>
      <c r="AB1" s="213"/>
      <c r="AC1" s="331" t="s">
        <v>96</v>
      </c>
      <c r="AD1" s="331"/>
      <c r="AE1" s="331"/>
      <c r="AF1" s="9"/>
    </row>
    <row r="2" spans="1:35" x14ac:dyDescent="0.25">
      <c r="A2" s="29"/>
      <c r="C2" s="6"/>
      <c r="D2" s="27"/>
      <c r="G2" s="6"/>
      <c r="O2" s="27"/>
      <c r="AB2" s="6"/>
      <c r="AF2" s="9"/>
    </row>
    <row r="3" spans="1:35" ht="21.75" customHeight="1" x14ac:dyDescent="0.25">
      <c r="A3" s="318" t="s">
        <v>707</v>
      </c>
      <c r="B3" s="318"/>
      <c r="C3" s="318"/>
      <c r="D3" s="318"/>
      <c r="E3" s="318"/>
      <c r="F3" s="318"/>
      <c r="G3" s="318"/>
      <c r="H3" s="318"/>
      <c r="I3" s="318"/>
      <c r="J3" s="318"/>
      <c r="K3" s="318"/>
      <c r="L3" s="318"/>
      <c r="M3" s="318"/>
      <c r="N3" s="318"/>
      <c r="O3" s="318"/>
      <c r="P3" s="318"/>
      <c r="Q3" s="318"/>
      <c r="R3" s="318"/>
      <c r="S3" s="318"/>
      <c r="T3" s="318"/>
      <c r="U3" s="318"/>
      <c r="V3" s="318"/>
      <c r="W3" s="318"/>
      <c r="X3" s="318"/>
      <c r="Y3" s="318"/>
      <c r="Z3" s="318"/>
      <c r="AA3" s="318"/>
      <c r="AB3" s="318"/>
      <c r="AC3" s="318"/>
      <c r="AD3" s="318"/>
      <c r="AE3" s="318"/>
      <c r="AF3" s="49"/>
    </row>
    <row r="4" spans="1:35" ht="21.75" customHeight="1" x14ac:dyDescent="0.25">
      <c r="A4" s="333" t="s">
        <v>708</v>
      </c>
      <c r="B4" s="333"/>
      <c r="C4" s="333"/>
      <c r="D4" s="333"/>
      <c r="E4" s="333"/>
      <c r="F4" s="333"/>
      <c r="G4" s="333"/>
      <c r="H4" s="333"/>
      <c r="I4" s="333"/>
      <c r="J4" s="333"/>
      <c r="K4" s="333"/>
      <c r="L4" s="333"/>
      <c r="M4" s="333"/>
      <c r="N4" s="333"/>
      <c r="O4" s="333"/>
      <c r="P4" s="333"/>
      <c r="Q4" s="333"/>
      <c r="R4" s="333"/>
      <c r="S4" s="333"/>
      <c r="T4" s="333"/>
      <c r="U4" s="333"/>
      <c r="V4" s="333"/>
      <c r="W4" s="333"/>
      <c r="X4" s="333"/>
      <c r="Y4" s="333"/>
      <c r="Z4" s="333"/>
      <c r="AA4" s="333"/>
      <c r="AB4" s="333"/>
      <c r="AC4" s="333"/>
      <c r="AD4" s="333"/>
      <c r="AE4" s="333"/>
      <c r="AF4" s="49"/>
    </row>
    <row r="5" spans="1:35" ht="21.75" customHeight="1" x14ac:dyDescent="0.25">
      <c r="A5" s="113"/>
      <c r="B5" s="50"/>
      <c r="C5" s="51"/>
      <c r="D5" s="51"/>
      <c r="E5" s="51"/>
      <c r="F5" s="51"/>
      <c r="G5" s="51"/>
      <c r="H5" s="51"/>
      <c r="I5" s="51"/>
      <c r="J5" s="51"/>
      <c r="K5" s="51"/>
      <c r="L5" s="51"/>
      <c r="M5" s="51"/>
      <c r="N5" s="51"/>
      <c r="O5" s="51"/>
      <c r="P5" s="51"/>
      <c r="Q5" s="51"/>
      <c r="R5" s="51"/>
      <c r="S5" s="51"/>
      <c r="T5" s="51"/>
      <c r="U5" s="51"/>
      <c r="V5" s="51"/>
      <c r="W5" s="51"/>
      <c r="X5" s="51"/>
      <c r="Y5" s="51"/>
      <c r="Z5" s="51"/>
      <c r="AA5" s="51"/>
      <c r="AB5" s="51"/>
      <c r="AC5" s="51"/>
      <c r="AD5" s="51"/>
      <c r="AE5" s="51"/>
      <c r="AF5" s="49"/>
    </row>
    <row r="6" spans="1:35" ht="21.75" customHeight="1" x14ac:dyDescent="0.25">
      <c r="A6" s="113"/>
      <c r="B6" s="50"/>
      <c r="C6" s="51"/>
      <c r="D6" s="51"/>
      <c r="E6" s="51"/>
      <c r="F6" s="51"/>
      <c r="G6" s="51"/>
      <c r="H6" s="51"/>
      <c r="I6" s="51"/>
      <c r="J6" s="51"/>
      <c r="K6" s="51"/>
      <c r="L6" s="51"/>
      <c r="M6" s="51"/>
      <c r="N6" s="51"/>
      <c r="O6" s="51"/>
      <c r="P6" s="51"/>
      <c r="Q6" s="51"/>
      <c r="R6" s="51"/>
      <c r="S6" s="51"/>
      <c r="T6" s="51"/>
      <c r="U6" s="51"/>
      <c r="V6" s="51"/>
      <c r="W6" s="51"/>
      <c r="X6" s="51"/>
      <c r="Y6" s="51"/>
      <c r="Z6" s="51"/>
      <c r="AA6" s="51"/>
      <c r="AB6" s="51"/>
      <c r="AC6" s="51"/>
      <c r="AD6" s="51"/>
      <c r="AE6" s="51"/>
      <c r="AF6" s="49"/>
    </row>
    <row r="7" spans="1:35" x14ac:dyDescent="0.25">
      <c r="B7" s="28"/>
      <c r="C7" s="6"/>
      <c r="D7" s="6"/>
      <c r="E7" s="6"/>
      <c r="F7" s="6"/>
      <c r="G7" s="6"/>
      <c r="H7" s="6"/>
      <c r="I7" s="6"/>
      <c r="J7" s="6"/>
      <c r="K7" s="6"/>
      <c r="L7" s="6"/>
      <c r="M7" s="6"/>
      <c r="N7" s="6"/>
      <c r="O7" s="6"/>
      <c r="P7" s="6"/>
      <c r="Q7" s="6"/>
      <c r="R7" s="6"/>
      <c r="S7" s="6"/>
      <c r="T7" s="6"/>
      <c r="U7" s="6"/>
      <c r="W7" s="27"/>
      <c r="X7" s="6"/>
      <c r="Y7" s="6"/>
      <c r="Z7" s="6"/>
      <c r="AA7" s="6"/>
      <c r="AB7" s="334"/>
      <c r="AC7" s="334"/>
      <c r="AD7" s="335" t="s">
        <v>252</v>
      </c>
      <c r="AE7" s="335"/>
      <c r="AF7" s="9"/>
    </row>
    <row r="8" spans="1:35" s="56" customFormat="1" ht="25.9" customHeight="1" x14ac:dyDescent="0.2">
      <c r="A8" s="324" t="s">
        <v>2</v>
      </c>
      <c r="B8" s="324" t="s">
        <v>97</v>
      </c>
      <c r="C8" s="325" t="s">
        <v>35</v>
      </c>
      <c r="D8" s="326"/>
      <c r="E8" s="326"/>
      <c r="F8" s="326"/>
      <c r="G8" s="326"/>
      <c r="H8" s="326"/>
      <c r="I8" s="326"/>
      <c r="J8" s="326"/>
      <c r="K8" s="326"/>
      <c r="L8" s="326"/>
      <c r="M8" s="327"/>
      <c r="N8" s="325" t="s">
        <v>5</v>
      </c>
      <c r="O8" s="326"/>
      <c r="P8" s="326"/>
      <c r="Q8" s="326"/>
      <c r="R8" s="326"/>
      <c r="S8" s="326"/>
      <c r="T8" s="326"/>
      <c r="U8" s="326"/>
      <c r="V8" s="326"/>
      <c r="W8" s="326"/>
      <c r="X8" s="326"/>
      <c r="Y8" s="112"/>
      <c r="Z8" s="112"/>
      <c r="AA8" s="112"/>
      <c r="AB8" s="324" t="s">
        <v>6</v>
      </c>
      <c r="AC8" s="324"/>
      <c r="AD8" s="324"/>
      <c r="AE8" s="324"/>
    </row>
    <row r="9" spans="1:35" s="56" customFormat="1" ht="25.5" customHeight="1" x14ac:dyDescent="0.2">
      <c r="A9" s="324"/>
      <c r="B9" s="324"/>
      <c r="C9" s="324" t="s">
        <v>253</v>
      </c>
      <c r="D9" s="324" t="s">
        <v>99</v>
      </c>
      <c r="E9" s="324" t="s">
        <v>100</v>
      </c>
      <c r="F9" s="324" t="s">
        <v>227</v>
      </c>
      <c r="G9" s="325" t="s">
        <v>228</v>
      </c>
      <c r="H9" s="327"/>
      <c r="I9" s="324" t="s">
        <v>254</v>
      </c>
      <c r="J9" s="328" t="s">
        <v>656</v>
      </c>
      <c r="K9" s="324" t="s">
        <v>101</v>
      </c>
      <c r="L9" s="324"/>
      <c r="M9" s="324"/>
      <c r="N9" s="324" t="s">
        <v>98</v>
      </c>
      <c r="O9" s="324" t="s">
        <v>99</v>
      </c>
      <c r="P9" s="324" t="s">
        <v>100</v>
      </c>
      <c r="Q9" s="329" t="s">
        <v>124</v>
      </c>
      <c r="R9" s="330"/>
      <c r="S9" s="324" t="s">
        <v>254</v>
      </c>
      <c r="T9" s="324" t="s">
        <v>657</v>
      </c>
      <c r="U9" s="324" t="s">
        <v>101</v>
      </c>
      <c r="V9" s="324"/>
      <c r="W9" s="324"/>
      <c r="X9" s="324" t="s">
        <v>102</v>
      </c>
      <c r="Y9" s="325" t="s">
        <v>124</v>
      </c>
      <c r="Z9" s="327"/>
      <c r="AA9" s="324" t="s">
        <v>255</v>
      </c>
      <c r="AB9" s="324" t="s">
        <v>98</v>
      </c>
      <c r="AC9" s="332" t="s">
        <v>99</v>
      </c>
      <c r="AD9" s="332" t="s">
        <v>100</v>
      </c>
      <c r="AE9" s="332" t="s">
        <v>101</v>
      </c>
    </row>
    <row r="10" spans="1:35" s="56" customFormat="1" ht="116.25" customHeight="1" x14ac:dyDescent="0.2">
      <c r="A10" s="324"/>
      <c r="B10" s="324"/>
      <c r="C10" s="324"/>
      <c r="D10" s="324"/>
      <c r="E10" s="324"/>
      <c r="F10" s="324"/>
      <c r="G10" s="53" t="s">
        <v>128</v>
      </c>
      <c r="H10" s="53" t="s">
        <v>127</v>
      </c>
      <c r="I10" s="324"/>
      <c r="J10" s="328"/>
      <c r="K10" s="54" t="s">
        <v>98</v>
      </c>
      <c r="L10" s="54" t="s">
        <v>103</v>
      </c>
      <c r="M10" s="54" t="s">
        <v>104</v>
      </c>
      <c r="N10" s="324"/>
      <c r="O10" s="324"/>
      <c r="P10" s="324"/>
      <c r="Q10" s="55" t="s">
        <v>158</v>
      </c>
      <c r="R10" s="55" t="s">
        <v>159</v>
      </c>
      <c r="S10" s="324"/>
      <c r="T10" s="324"/>
      <c r="U10" s="54" t="s">
        <v>98</v>
      </c>
      <c r="V10" s="54" t="s">
        <v>103</v>
      </c>
      <c r="W10" s="54" t="s">
        <v>104</v>
      </c>
      <c r="X10" s="324"/>
      <c r="Y10" s="53" t="s">
        <v>161</v>
      </c>
      <c r="Z10" s="53" t="s">
        <v>160</v>
      </c>
      <c r="AA10" s="324"/>
      <c r="AB10" s="324"/>
      <c r="AC10" s="332"/>
      <c r="AD10" s="332"/>
      <c r="AE10" s="332"/>
    </row>
    <row r="11" spans="1:35" s="244" customFormat="1" ht="33.75" customHeight="1" x14ac:dyDescent="0.2">
      <c r="A11" s="57" t="s">
        <v>7</v>
      </c>
      <c r="B11" s="57" t="s">
        <v>8</v>
      </c>
      <c r="C11" s="57" t="s">
        <v>152</v>
      </c>
      <c r="D11" s="57">
        <v>2</v>
      </c>
      <c r="E11" s="57">
        <v>3</v>
      </c>
      <c r="F11" s="57"/>
      <c r="G11" s="57"/>
      <c r="H11" s="57"/>
      <c r="I11" s="57">
        <v>4</v>
      </c>
      <c r="J11" s="57">
        <v>5</v>
      </c>
      <c r="K11" s="57" t="s">
        <v>141</v>
      </c>
      <c r="L11" s="57">
        <v>7</v>
      </c>
      <c r="M11" s="57">
        <v>8</v>
      </c>
      <c r="N11" s="58" t="s">
        <v>516</v>
      </c>
      <c r="O11" s="57">
        <v>10</v>
      </c>
      <c r="P11" s="57">
        <v>11</v>
      </c>
      <c r="Q11" s="57"/>
      <c r="R11" s="57"/>
      <c r="S11" s="57">
        <v>12</v>
      </c>
      <c r="T11" s="57">
        <v>13</v>
      </c>
      <c r="U11" s="57" t="s">
        <v>153</v>
      </c>
      <c r="V11" s="57">
        <v>15</v>
      </c>
      <c r="W11" s="57">
        <v>16</v>
      </c>
      <c r="X11" s="57" t="s">
        <v>517</v>
      </c>
      <c r="Y11" s="57">
        <v>18</v>
      </c>
      <c r="Z11" s="57">
        <v>19</v>
      </c>
      <c r="AA11" s="57">
        <v>20</v>
      </c>
      <c r="AB11" s="57" t="s">
        <v>518</v>
      </c>
      <c r="AC11" s="57" t="s">
        <v>519</v>
      </c>
      <c r="AD11" s="57" t="s">
        <v>520</v>
      </c>
      <c r="AE11" s="57" t="s">
        <v>521</v>
      </c>
    </row>
    <row r="12" spans="1:35" s="36" customFormat="1" ht="26.25" customHeight="1" x14ac:dyDescent="0.25">
      <c r="A12" s="60"/>
      <c r="B12" s="60" t="s">
        <v>98</v>
      </c>
      <c r="C12" s="61">
        <f>D12+E12+I12+J12+K12</f>
        <v>6680414.2628682284</v>
      </c>
      <c r="D12" s="60">
        <f t="shared" ref="D12:M12" si="0">D13+D108+D109+D110+D114+D115+D104+D111+D112+D113+D116</f>
        <v>2194827.9999999995</v>
      </c>
      <c r="E12" s="60">
        <f t="shared" si="0"/>
        <v>1909178.26</v>
      </c>
      <c r="F12" s="60">
        <f t="shared" si="0"/>
        <v>1830275.26</v>
      </c>
      <c r="G12" s="60">
        <f t="shared" si="0"/>
        <v>0</v>
      </c>
      <c r="H12" s="60">
        <f t="shared" si="0"/>
        <v>78903</v>
      </c>
      <c r="I12" s="60">
        <f t="shared" si="0"/>
        <v>2200</v>
      </c>
      <c r="J12" s="60">
        <f t="shared" si="0"/>
        <v>1331106.0028682286</v>
      </c>
      <c r="K12" s="60">
        <f t="shared" si="0"/>
        <v>1243102</v>
      </c>
      <c r="L12" s="60">
        <f t="shared" si="0"/>
        <v>675155</v>
      </c>
      <c r="M12" s="60">
        <f t="shared" si="0"/>
        <v>567947</v>
      </c>
      <c r="N12" s="60">
        <f t="shared" ref="N12:AA12" si="1">N13+N108+N109+N110+N114+N115+N104+N111+N113+N112+N116</f>
        <v>10282701.519897997</v>
      </c>
      <c r="O12" s="60">
        <f t="shared" si="1"/>
        <v>1456526.7354239998</v>
      </c>
      <c r="P12" s="60">
        <f t="shared" si="1"/>
        <v>1859518.8960580006</v>
      </c>
      <c r="Q12" s="60">
        <f t="shared" si="1"/>
        <v>1442749.1497930007</v>
      </c>
      <c r="R12" s="60">
        <f t="shared" si="1"/>
        <v>416769.74626500002</v>
      </c>
      <c r="S12" s="60">
        <f t="shared" si="1"/>
        <v>10232.433849999999</v>
      </c>
      <c r="T12" s="60">
        <f t="shared" si="1"/>
        <v>3815518.1447020001</v>
      </c>
      <c r="U12" s="60">
        <f t="shared" si="1"/>
        <v>158511.49889300007</v>
      </c>
      <c r="V12" s="60">
        <f t="shared" si="1"/>
        <v>37864.329270000002</v>
      </c>
      <c r="W12" s="60">
        <f t="shared" si="1"/>
        <v>120647.16962300001</v>
      </c>
      <c r="X12" s="60">
        <f t="shared" si="1"/>
        <v>2859544.5055379998</v>
      </c>
      <c r="Y12" s="60">
        <f t="shared" si="1"/>
        <v>0</v>
      </c>
      <c r="Z12" s="60">
        <f t="shared" si="1"/>
        <v>0</v>
      </c>
      <c r="AA12" s="60">
        <f t="shared" si="1"/>
        <v>122849.305433</v>
      </c>
      <c r="AB12" s="61">
        <f t="shared" ref="AB12:AC27" si="2">N12/C12%</f>
        <v>153.92311188023737</v>
      </c>
      <c r="AC12" s="61">
        <f>O12/D12%</f>
        <v>66.361771192275668</v>
      </c>
      <c r="AD12" s="61">
        <f t="shared" ref="AD12:AD70" si="3">P12/E12%</f>
        <v>97.398914235384225</v>
      </c>
      <c r="AE12" s="61">
        <f>U12/K12%</f>
        <v>12.751286611476779</v>
      </c>
    </row>
    <row r="13" spans="1:35" s="36" customFormat="1" ht="24.75" customHeight="1" x14ac:dyDescent="0.25">
      <c r="A13" s="61" t="s">
        <v>39</v>
      </c>
      <c r="B13" s="63" t="s">
        <v>256</v>
      </c>
      <c r="C13" s="61">
        <f>D13+E13+I13+J13+K13</f>
        <v>5281857.3999999994</v>
      </c>
      <c r="D13" s="61">
        <f t="shared" ref="D13:AA13" si="4">D14+D92</f>
        <v>2194827.9999999995</v>
      </c>
      <c r="E13" s="61">
        <f t="shared" si="4"/>
        <v>1843927.4</v>
      </c>
      <c r="F13" s="61">
        <f t="shared" si="4"/>
        <v>1765024.4</v>
      </c>
      <c r="G13" s="61">
        <f t="shared" si="4"/>
        <v>0</v>
      </c>
      <c r="H13" s="61">
        <f t="shared" si="4"/>
        <v>78903</v>
      </c>
      <c r="I13" s="61">
        <f t="shared" si="4"/>
        <v>0</v>
      </c>
      <c r="J13" s="61">
        <f t="shared" si="4"/>
        <v>0</v>
      </c>
      <c r="K13" s="61">
        <f t="shared" si="4"/>
        <v>1243102</v>
      </c>
      <c r="L13" s="61">
        <f t="shared" si="4"/>
        <v>675155</v>
      </c>
      <c r="M13" s="61">
        <f t="shared" si="4"/>
        <v>567947</v>
      </c>
      <c r="N13" s="61">
        <f t="shared" si="4"/>
        <v>3328841.8610879993</v>
      </c>
      <c r="O13" s="61">
        <f t="shared" si="4"/>
        <v>1334915.4661369999</v>
      </c>
      <c r="P13" s="61">
        <f t="shared" si="4"/>
        <v>1835414.8960580006</v>
      </c>
      <c r="Q13" s="61">
        <f t="shared" si="4"/>
        <v>1442749.1497930007</v>
      </c>
      <c r="R13" s="61">
        <f t="shared" si="4"/>
        <v>392665.74626500002</v>
      </c>
      <c r="S13" s="61">
        <f t="shared" si="4"/>
        <v>0</v>
      </c>
      <c r="T13" s="61">
        <f t="shared" si="4"/>
        <v>0</v>
      </c>
      <c r="U13" s="61">
        <f t="shared" si="4"/>
        <v>158511.49889300007</v>
      </c>
      <c r="V13" s="61">
        <f t="shared" si="4"/>
        <v>37864.329270000002</v>
      </c>
      <c r="W13" s="61">
        <f t="shared" si="4"/>
        <v>120647.16962300001</v>
      </c>
      <c r="X13" s="61">
        <f t="shared" si="4"/>
        <v>0</v>
      </c>
      <c r="Y13" s="61">
        <f t="shared" si="4"/>
        <v>0</v>
      </c>
      <c r="Z13" s="61">
        <f t="shared" si="4"/>
        <v>0</v>
      </c>
      <c r="AA13" s="61">
        <f t="shared" si="4"/>
        <v>0</v>
      </c>
      <c r="AB13" s="61">
        <f t="shared" si="2"/>
        <v>63.024076740277003</v>
      </c>
      <c r="AC13" s="61">
        <f t="shared" si="2"/>
        <v>60.82096028194465</v>
      </c>
      <c r="AD13" s="61">
        <f t="shared" si="3"/>
        <v>99.538349289565346</v>
      </c>
      <c r="AE13" s="61">
        <f t="shared" ref="AE13:AE73" si="5">U13/K13%</f>
        <v>12.751286611476779</v>
      </c>
      <c r="AG13" s="44"/>
    </row>
    <row r="14" spans="1:35" s="36" customFormat="1" ht="33.75" customHeight="1" x14ac:dyDescent="0.25">
      <c r="A14" s="61" t="s">
        <v>257</v>
      </c>
      <c r="B14" s="63" t="s">
        <v>258</v>
      </c>
      <c r="C14" s="61">
        <f>D14+E14+I14+J14+K14</f>
        <v>4101362.9609999997</v>
      </c>
      <c r="D14" s="61">
        <f>SUM(D15:D91)</f>
        <v>1983137.5609999998</v>
      </c>
      <c r="E14" s="61">
        <f t="shared" ref="E14:J14" si="6">SUM(E15:E91)</f>
        <v>1843927.4</v>
      </c>
      <c r="F14" s="61">
        <f t="shared" si="6"/>
        <v>1765024.4</v>
      </c>
      <c r="G14" s="61">
        <f t="shared" si="6"/>
        <v>0</v>
      </c>
      <c r="H14" s="61">
        <f t="shared" si="6"/>
        <v>78903</v>
      </c>
      <c r="I14" s="61">
        <f t="shared" si="6"/>
        <v>0</v>
      </c>
      <c r="J14" s="61">
        <f t="shared" si="6"/>
        <v>0</v>
      </c>
      <c r="K14" s="61">
        <f>SUM(K15:K91)</f>
        <v>274298</v>
      </c>
      <c r="L14" s="61">
        <f t="shared" ref="L14:AA14" si="7">SUM(L15:L91)</f>
        <v>79483</v>
      </c>
      <c r="M14" s="61">
        <f t="shared" si="7"/>
        <v>194815</v>
      </c>
      <c r="N14" s="61">
        <f t="shared" si="7"/>
        <v>3097157.3568069991</v>
      </c>
      <c r="O14" s="61">
        <f t="shared" si="7"/>
        <v>1104416.351856</v>
      </c>
      <c r="P14" s="61">
        <f t="shared" si="7"/>
        <v>1835414.8960580006</v>
      </c>
      <c r="Q14" s="61">
        <f t="shared" si="7"/>
        <v>1442749.1497930007</v>
      </c>
      <c r="R14" s="61">
        <f t="shared" si="7"/>
        <v>392665.74626500002</v>
      </c>
      <c r="S14" s="61">
        <f t="shared" si="7"/>
        <v>0</v>
      </c>
      <c r="T14" s="61">
        <f t="shared" si="7"/>
        <v>0</v>
      </c>
      <c r="U14" s="61">
        <f t="shared" si="7"/>
        <v>157326.10889300006</v>
      </c>
      <c r="V14" s="61">
        <f t="shared" si="7"/>
        <v>36678.939270000003</v>
      </c>
      <c r="W14" s="61">
        <f t="shared" si="7"/>
        <v>120647.16962300001</v>
      </c>
      <c r="X14" s="61">
        <f t="shared" si="7"/>
        <v>0</v>
      </c>
      <c r="Y14" s="61">
        <f t="shared" si="7"/>
        <v>0</v>
      </c>
      <c r="Z14" s="61">
        <f t="shared" si="7"/>
        <v>0</v>
      </c>
      <c r="AA14" s="61">
        <f t="shared" si="7"/>
        <v>0</v>
      </c>
      <c r="AB14" s="61">
        <f t="shared" si="2"/>
        <v>75.515319815826444</v>
      </c>
      <c r="AC14" s="61">
        <f t="shared" si="2"/>
        <v>55.69035520153713</v>
      </c>
      <c r="AD14" s="61">
        <f t="shared" si="3"/>
        <v>99.538349289565346</v>
      </c>
      <c r="AE14" s="61">
        <f t="shared" si="5"/>
        <v>57.355908133854442</v>
      </c>
      <c r="AG14" s="44"/>
      <c r="AH14" s="64"/>
      <c r="AI14" s="44"/>
    </row>
    <row r="15" spans="1:35" s="36" customFormat="1" ht="24" customHeight="1" x14ac:dyDescent="0.25">
      <c r="A15" s="65" t="s">
        <v>259</v>
      </c>
      <c r="B15" s="66" t="s">
        <v>658</v>
      </c>
      <c r="C15" s="67">
        <f>D15+E15+I15+J15+K15</f>
        <v>253078</v>
      </c>
      <c r="D15" s="67">
        <v>74000</v>
      </c>
      <c r="E15" s="67">
        <f>F15+G15+H15</f>
        <v>148451</v>
      </c>
      <c r="F15" s="67">
        <v>137885</v>
      </c>
      <c r="G15" s="67"/>
      <c r="H15" s="67">
        <v>10566</v>
      </c>
      <c r="I15" s="67"/>
      <c r="J15" s="67"/>
      <c r="K15" s="67">
        <f t="shared" ref="K15:K75" si="8">L15+M15</f>
        <v>30627</v>
      </c>
      <c r="L15" s="67">
        <v>10512</v>
      </c>
      <c r="M15" s="67">
        <f>17915+2200</f>
        <v>20115</v>
      </c>
      <c r="N15" s="67">
        <f>O15+P15+S15+T15+U15</f>
        <v>216728.63992800002</v>
      </c>
      <c r="O15" s="67">
        <v>62758.168000000005</v>
      </c>
      <c r="P15" s="68">
        <f>Q15+R15</f>
        <v>140723.89615099999</v>
      </c>
      <c r="Q15" s="67">
        <v>140723.89615099999</v>
      </c>
      <c r="R15" s="68"/>
      <c r="S15" s="67"/>
      <c r="T15" s="67"/>
      <c r="U15" s="67">
        <f t="shared" ref="U15:U35" si="9">V15+W15</f>
        <v>13246.575777000027</v>
      </c>
      <c r="V15" s="67"/>
      <c r="W15" s="67">
        <v>13246.575777000027</v>
      </c>
      <c r="X15" s="67"/>
      <c r="Y15" s="67"/>
      <c r="Z15" s="67"/>
      <c r="AA15" s="67"/>
      <c r="AB15" s="67">
        <f t="shared" si="2"/>
        <v>85.637092093346709</v>
      </c>
      <c r="AC15" s="67">
        <f>O15/D15%</f>
        <v>84.808335135135138</v>
      </c>
      <c r="AD15" s="67">
        <f t="shared" si="3"/>
        <v>94.794845538932037</v>
      </c>
      <c r="AE15" s="67">
        <f t="shared" si="5"/>
        <v>43.251300411401793</v>
      </c>
      <c r="AG15" s="44"/>
      <c r="AH15" s="64"/>
      <c r="AI15" s="44"/>
    </row>
    <row r="16" spans="1:35" s="16" customFormat="1" ht="39.75" customHeight="1" x14ac:dyDescent="0.25">
      <c r="A16" s="70" t="s">
        <v>261</v>
      </c>
      <c r="B16" s="71" t="s">
        <v>555</v>
      </c>
      <c r="C16" s="67">
        <f t="shared" ref="C16:C76" si="10">D16+E16+I16+J16+K16</f>
        <v>29878</v>
      </c>
      <c r="D16" s="67"/>
      <c r="E16" s="67">
        <f t="shared" ref="E16:E74" si="11">F16+G16+H16</f>
        <v>29878</v>
      </c>
      <c r="F16" s="67">
        <v>29878</v>
      </c>
      <c r="G16" s="67"/>
      <c r="H16" s="67"/>
      <c r="I16" s="67"/>
      <c r="J16" s="67"/>
      <c r="K16" s="67">
        <f t="shared" si="8"/>
        <v>0</v>
      </c>
      <c r="L16" s="67"/>
      <c r="M16" s="67"/>
      <c r="N16" s="67">
        <f>O16+P16+S16+T16+U16</f>
        <v>32824.673999999999</v>
      </c>
      <c r="O16" s="67"/>
      <c r="P16" s="68">
        <f t="shared" ref="P16:P76" si="12">Q16+R16</f>
        <v>32824.673999999999</v>
      </c>
      <c r="Q16" s="67">
        <v>32824.673999999999</v>
      </c>
      <c r="R16" s="67"/>
      <c r="S16" s="67"/>
      <c r="T16" s="67"/>
      <c r="U16" s="67">
        <f t="shared" si="9"/>
        <v>0</v>
      </c>
      <c r="V16" s="67"/>
      <c r="W16" s="67"/>
      <c r="X16" s="67"/>
      <c r="Y16" s="67"/>
      <c r="Z16" s="67"/>
      <c r="AA16" s="67"/>
      <c r="AB16" s="67">
        <f t="shared" si="2"/>
        <v>109.86235357118952</v>
      </c>
      <c r="AC16" s="67"/>
      <c r="AD16" s="67">
        <f t="shared" si="3"/>
        <v>109.86235357118952</v>
      </c>
      <c r="AE16" s="67"/>
    </row>
    <row r="17" spans="1:33" s="16" customFormat="1" ht="24.75" customHeight="1" x14ac:dyDescent="0.25">
      <c r="A17" s="65" t="s">
        <v>263</v>
      </c>
      <c r="B17" s="72" t="s">
        <v>556</v>
      </c>
      <c r="C17" s="67">
        <f t="shared" si="10"/>
        <v>233325</v>
      </c>
      <c r="D17" s="67">
        <v>149000</v>
      </c>
      <c r="E17" s="67">
        <f t="shared" si="11"/>
        <v>84296</v>
      </c>
      <c r="F17" s="67">
        <v>35009</v>
      </c>
      <c r="G17" s="67"/>
      <c r="H17" s="67">
        <f>440+48847</f>
        <v>49287</v>
      </c>
      <c r="I17" s="67"/>
      <c r="J17" s="67"/>
      <c r="K17" s="67">
        <f t="shared" si="8"/>
        <v>29</v>
      </c>
      <c r="L17" s="67">
        <v>0</v>
      </c>
      <c r="M17" s="67">
        <v>29</v>
      </c>
      <c r="N17" s="67">
        <f t="shared" ref="N17:N77" si="13">O17+P17+S17+T17+U17</f>
        <v>183986.71097599997</v>
      </c>
      <c r="O17" s="67">
        <v>96465.187529999996</v>
      </c>
      <c r="P17" s="68">
        <f t="shared" si="12"/>
        <v>87500.672285999986</v>
      </c>
      <c r="Q17" s="67">
        <f>6073.485+3987.1+77440.087286</f>
        <v>87500.672285999986</v>
      </c>
      <c r="R17" s="68"/>
      <c r="S17" s="67"/>
      <c r="T17" s="67"/>
      <c r="U17" s="67">
        <f t="shared" si="9"/>
        <v>20.85116</v>
      </c>
      <c r="V17" s="67"/>
      <c r="W17" s="67">
        <v>20.85116</v>
      </c>
      <c r="X17" s="67"/>
      <c r="Y17" s="67"/>
      <c r="Z17" s="67"/>
      <c r="AA17" s="67"/>
      <c r="AB17" s="67">
        <f t="shared" si="2"/>
        <v>78.854263784849451</v>
      </c>
      <c r="AC17" s="67"/>
      <c r="AD17" s="67">
        <f t="shared" si="3"/>
        <v>103.80168962465595</v>
      </c>
      <c r="AE17" s="67">
        <f t="shared" si="5"/>
        <v>71.900551724137941</v>
      </c>
      <c r="AG17" s="45"/>
    </row>
    <row r="18" spans="1:33" s="16" customFormat="1" ht="24.75" customHeight="1" x14ac:dyDescent="0.25">
      <c r="A18" s="70" t="s">
        <v>265</v>
      </c>
      <c r="B18" s="72" t="s">
        <v>557</v>
      </c>
      <c r="C18" s="67">
        <f t="shared" si="10"/>
        <v>1211</v>
      </c>
      <c r="D18" s="73"/>
      <c r="E18" s="67">
        <f t="shared" si="11"/>
        <v>1211</v>
      </c>
      <c r="F18" s="67">
        <v>331</v>
      </c>
      <c r="G18" s="67"/>
      <c r="H18" s="67">
        <v>880</v>
      </c>
      <c r="I18" s="67"/>
      <c r="J18" s="67"/>
      <c r="K18" s="67">
        <f t="shared" si="8"/>
        <v>0</v>
      </c>
      <c r="L18" s="67"/>
      <c r="M18" s="67"/>
      <c r="N18" s="67">
        <f t="shared" si="13"/>
        <v>1172.821776</v>
      </c>
      <c r="O18" s="67"/>
      <c r="P18" s="68">
        <f t="shared" si="12"/>
        <v>1172.821776</v>
      </c>
      <c r="Q18" s="67">
        <v>1172.821776</v>
      </c>
      <c r="R18" s="67"/>
      <c r="S18" s="67"/>
      <c r="T18" s="67"/>
      <c r="U18" s="67">
        <f t="shared" si="9"/>
        <v>0</v>
      </c>
      <c r="V18" s="67"/>
      <c r="W18" s="67"/>
      <c r="X18" s="67"/>
      <c r="Y18" s="67"/>
      <c r="Z18" s="67"/>
      <c r="AA18" s="67"/>
      <c r="AB18" s="67">
        <f t="shared" si="2"/>
        <v>96.847380346820813</v>
      </c>
      <c r="AC18" s="67"/>
      <c r="AD18" s="67">
        <f t="shared" si="3"/>
        <v>96.847380346820813</v>
      </c>
      <c r="AE18" s="67"/>
    </row>
    <row r="19" spans="1:33" s="16" customFormat="1" ht="24.75" customHeight="1" x14ac:dyDescent="0.25">
      <c r="A19" s="65" t="s">
        <v>267</v>
      </c>
      <c r="B19" s="66" t="s">
        <v>558</v>
      </c>
      <c r="C19" s="67">
        <f t="shared" si="10"/>
        <v>11596</v>
      </c>
      <c r="D19" s="67"/>
      <c r="E19" s="67">
        <f t="shared" si="11"/>
        <v>11596</v>
      </c>
      <c r="F19" s="67">
        <v>11596</v>
      </c>
      <c r="G19" s="67"/>
      <c r="H19" s="67"/>
      <c r="I19" s="67"/>
      <c r="J19" s="67"/>
      <c r="K19" s="67">
        <f t="shared" si="8"/>
        <v>0</v>
      </c>
      <c r="L19" s="67"/>
      <c r="M19" s="67"/>
      <c r="N19" s="67">
        <f t="shared" si="13"/>
        <v>7253.9777899999999</v>
      </c>
      <c r="O19" s="67"/>
      <c r="P19" s="68">
        <f t="shared" si="12"/>
        <v>7253.9777899999999</v>
      </c>
      <c r="Q19" s="68">
        <v>7253.9777899999999</v>
      </c>
      <c r="R19" s="67"/>
      <c r="S19" s="67"/>
      <c r="T19" s="67"/>
      <c r="U19" s="67">
        <f t="shared" si="9"/>
        <v>0</v>
      </c>
      <c r="V19" s="67"/>
      <c r="W19" s="67"/>
      <c r="X19" s="67"/>
      <c r="Y19" s="67"/>
      <c r="Z19" s="67"/>
      <c r="AA19" s="67"/>
      <c r="AB19" s="67">
        <f t="shared" si="2"/>
        <v>62.555862280096591</v>
      </c>
      <c r="AC19" s="67"/>
      <c r="AD19" s="67">
        <f t="shared" si="3"/>
        <v>62.555862280096591</v>
      </c>
      <c r="AE19" s="67"/>
    </row>
    <row r="20" spans="1:33" s="16" customFormat="1" ht="24.75" customHeight="1" x14ac:dyDescent="0.25">
      <c r="A20" s="70" t="s">
        <v>269</v>
      </c>
      <c r="B20" s="72" t="s">
        <v>559</v>
      </c>
      <c r="C20" s="67">
        <f t="shared" si="10"/>
        <v>28150</v>
      </c>
      <c r="D20" s="67"/>
      <c r="E20" s="67">
        <f t="shared" si="11"/>
        <v>28150</v>
      </c>
      <c r="F20" s="67">
        <v>28150</v>
      </c>
      <c r="G20" s="67"/>
      <c r="H20" s="67"/>
      <c r="I20" s="67"/>
      <c r="J20" s="67"/>
      <c r="K20" s="67">
        <f t="shared" si="8"/>
        <v>0</v>
      </c>
      <c r="L20" s="67"/>
      <c r="M20" s="67"/>
      <c r="N20" s="67">
        <f t="shared" si="13"/>
        <v>30282.151790999997</v>
      </c>
      <c r="O20" s="67"/>
      <c r="P20" s="68">
        <f t="shared" si="12"/>
        <v>30282.151790999997</v>
      </c>
      <c r="Q20" s="74">
        <f>956.436765+27727.634819+2500.30855+1194.983657+1900-3997.212</f>
        <v>30282.151790999997</v>
      </c>
      <c r="R20" s="67"/>
      <c r="S20" s="67"/>
      <c r="T20" s="67"/>
      <c r="U20" s="67">
        <f t="shared" si="9"/>
        <v>0</v>
      </c>
      <c r="V20" s="67"/>
      <c r="W20" s="67"/>
      <c r="X20" s="67"/>
      <c r="Y20" s="67"/>
      <c r="Z20" s="67"/>
      <c r="AA20" s="67"/>
      <c r="AB20" s="67">
        <f t="shared" si="2"/>
        <v>107.5742514777975</v>
      </c>
      <c r="AC20" s="67"/>
      <c r="AD20" s="67">
        <f t="shared" si="3"/>
        <v>107.5742514777975</v>
      </c>
      <c r="AE20" s="67"/>
    </row>
    <row r="21" spans="1:33" s="16" customFormat="1" ht="24.75" customHeight="1" x14ac:dyDescent="0.25">
      <c r="A21" s="65" t="s">
        <v>271</v>
      </c>
      <c r="B21" s="72" t="s">
        <v>560</v>
      </c>
      <c r="C21" s="67">
        <f t="shared" si="10"/>
        <v>9710</v>
      </c>
      <c r="D21" s="67"/>
      <c r="E21" s="67">
        <f t="shared" si="11"/>
        <v>9302</v>
      </c>
      <c r="F21" s="67">
        <v>9302</v>
      </c>
      <c r="G21" s="67"/>
      <c r="H21" s="67"/>
      <c r="I21" s="67"/>
      <c r="J21" s="67"/>
      <c r="K21" s="67">
        <f t="shared" si="8"/>
        <v>408</v>
      </c>
      <c r="L21" s="67">
        <v>0</v>
      </c>
      <c r="M21" s="67">
        <v>408</v>
      </c>
      <c r="N21" s="67">
        <f t="shared" si="13"/>
        <v>9657.5175999999992</v>
      </c>
      <c r="O21" s="67"/>
      <c r="P21" s="68">
        <f t="shared" si="12"/>
        <v>9199.2405999999992</v>
      </c>
      <c r="Q21" s="67">
        <f>6039+948.73+847+1364.5106</f>
        <v>9199.2405999999992</v>
      </c>
      <c r="R21" s="67"/>
      <c r="S21" s="67"/>
      <c r="T21" s="67"/>
      <c r="U21" s="67">
        <f t="shared" si="9"/>
        <v>458.27699999999999</v>
      </c>
      <c r="V21" s="67"/>
      <c r="W21" s="67">
        <f>24.55+433.727</f>
        <v>458.27699999999999</v>
      </c>
      <c r="X21" s="67"/>
      <c r="Y21" s="67"/>
      <c r="Z21" s="67"/>
      <c r="AA21" s="67"/>
      <c r="AB21" s="67">
        <f t="shared" si="2"/>
        <v>99.459501544799167</v>
      </c>
      <c r="AC21" s="67"/>
      <c r="AD21" s="67">
        <f t="shared" si="3"/>
        <v>98.895297785422486</v>
      </c>
      <c r="AE21" s="67">
        <f t="shared" si="5"/>
        <v>112.32279411764705</v>
      </c>
    </row>
    <row r="22" spans="1:33" s="16" customFormat="1" ht="24.75" customHeight="1" x14ac:dyDescent="0.25">
      <c r="A22" s="70" t="s">
        <v>273</v>
      </c>
      <c r="B22" s="72" t="s">
        <v>561</v>
      </c>
      <c r="C22" s="67">
        <f t="shared" si="10"/>
        <v>482743.69500000001</v>
      </c>
      <c r="D22" s="67">
        <v>33772.294999999998</v>
      </c>
      <c r="E22" s="67">
        <f t="shared" si="11"/>
        <v>382779.4</v>
      </c>
      <c r="F22" s="67">
        <v>382744.4</v>
      </c>
      <c r="G22" s="67"/>
      <c r="H22" s="67">
        <v>35</v>
      </c>
      <c r="I22" s="67"/>
      <c r="J22" s="67"/>
      <c r="K22" s="67">
        <f t="shared" si="8"/>
        <v>66192</v>
      </c>
      <c r="L22" s="67">
        <v>27433</v>
      </c>
      <c r="M22" s="67">
        <v>38759</v>
      </c>
      <c r="N22" s="67">
        <f t="shared" si="13"/>
        <v>491571.81826799997</v>
      </c>
      <c r="O22" s="67">
        <v>59823.026975000001</v>
      </c>
      <c r="P22" s="68">
        <f t="shared" si="12"/>
        <v>369295.94829299999</v>
      </c>
      <c r="Q22" s="67">
        <f>11737.9445+14329.24+6679.74123+13984.277882+12664+12898.065+4962.654864+9069.336+14975.122605+7106.785+12378.3625+19306.748972+11839+7931+26989.351741+14208.388185+18970.224+16594.418+15284.520201+14721.081+9873.493318+8158.908+4916.056195+12273.232678+13570.010922+11629.5915+10286.01+4692.63+5267.15+8360.498+13638.106</f>
        <v>369295.94829299999</v>
      </c>
      <c r="R22" s="67"/>
      <c r="S22" s="67"/>
      <c r="T22" s="67"/>
      <c r="U22" s="67">
        <f t="shared" si="9"/>
        <v>62452.842999999993</v>
      </c>
      <c r="V22" s="67">
        <v>10668.424999999999</v>
      </c>
      <c r="W22" s="67">
        <v>51784.417999999998</v>
      </c>
      <c r="X22" s="67"/>
      <c r="Y22" s="67"/>
      <c r="Z22" s="67"/>
      <c r="AA22" s="67"/>
      <c r="AB22" s="67">
        <f t="shared" si="2"/>
        <v>101.82873921698759</v>
      </c>
      <c r="AC22" s="67">
        <f t="shared" si="2"/>
        <v>177.13639826668577</v>
      </c>
      <c r="AD22" s="67">
        <f t="shared" si="3"/>
        <v>96.477487632040791</v>
      </c>
      <c r="AE22" s="67">
        <f t="shared" si="5"/>
        <v>94.351043932801545</v>
      </c>
    </row>
    <row r="23" spans="1:33" s="16" customFormat="1" ht="24.75" customHeight="1" x14ac:dyDescent="0.25">
      <c r="A23" s="65" t="s">
        <v>274</v>
      </c>
      <c r="B23" s="72" t="s">
        <v>562</v>
      </c>
      <c r="C23" s="67">
        <f t="shared" si="10"/>
        <v>494462</v>
      </c>
      <c r="D23" s="67">
        <v>211131</v>
      </c>
      <c r="E23" s="67">
        <f t="shared" si="11"/>
        <v>263471</v>
      </c>
      <c r="F23" s="67">
        <v>263471</v>
      </c>
      <c r="G23" s="67"/>
      <c r="H23" s="67"/>
      <c r="I23" s="67"/>
      <c r="J23" s="67"/>
      <c r="K23" s="67">
        <f t="shared" si="8"/>
        <v>19860</v>
      </c>
      <c r="L23" s="67">
        <v>10839</v>
      </c>
      <c r="M23" s="67">
        <v>9021</v>
      </c>
      <c r="N23" s="67">
        <f t="shared" si="13"/>
        <v>265242.24801000004</v>
      </c>
      <c r="O23" s="67">
        <v>77036.814710000006</v>
      </c>
      <c r="P23" s="68">
        <f t="shared" si="12"/>
        <v>178619.88904800001</v>
      </c>
      <c r="Q23" s="67">
        <f>101.419957+1252.709432+1062.4+28.709596+15922.43523+5880.988044+2021.908596+3974.388103+16090.783+25827.201946+19108.868355+14207.082936+21388.491182+1894.051208+536.906112+14918.0246+2261.590807+12437.63829+1.968276+8678.683027+2433.6+590.907588+3772.1</f>
        <v>174392.85628500002</v>
      </c>
      <c r="R23" s="67">
        <v>4227.0327630000002</v>
      </c>
      <c r="S23" s="67"/>
      <c r="T23" s="67"/>
      <c r="U23" s="67">
        <f t="shared" si="9"/>
        <v>9585.5442519999997</v>
      </c>
      <c r="V23" s="67">
        <v>160.89664099999999</v>
      </c>
      <c r="W23" s="67">
        <v>9424.6476110000003</v>
      </c>
      <c r="X23" s="67"/>
      <c r="Y23" s="67"/>
      <c r="Z23" s="67"/>
      <c r="AA23" s="67"/>
      <c r="AB23" s="67">
        <f t="shared" si="2"/>
        <v>53.642594984043271</v>
      </c>
      <c r="AC23" s="67">
        <f t="shared" si="2"/>
        <v>36.487685233338546</v>
      </c>
      <c r="AD23" s="67">
        <f t="shared" si="3"/>
        <v>67.794895471607887</v>
      </c>
      <c r="AE23" s="67">
        <f t="shared" si="5"/>
        <v>48.265580322255794</v>
      </c>
    </row>
    <row r="24" spans="1:33" s="16" customFormat="1" ht="24.75" customHeight="1" x14ac:dyDescent="0.25">
      <c r="A24" s="70" t="s">
        <v>276</v>
      </c>
      <c r="B24" s="72" t="s">
        <v>659</v>
      </c>
      <c r="C24" s="67">
        <f t="shared" si="10"/>
        <v>98535.766000000003</v>
      </c>
      <c r="D24" s="67">
        <v>36851.766000000003</v>
      </c>
      <c r="E24" s="67">
        <f t="shared" si="11"/>
        <v>50371</v>
      </c>
      <c r="F24" s="67">
        <v>50336</v>
      </c>
      <c r="G24" s="67"/>
      <c r="H24" s="67">
        <v>35</v>
      </c>
      <c r="I24" s="67"/>
      <c r="J24" s="67"/>
      <c r="K24" s="67">
        <f t="shared" si="8"/>
        <v>11313</v>
      </c>
      <c r="L24" s="67">
        <v>6252</v>
      </c>
      <c r="M24" s="67">
        <v>5061</v>
      </c>
      <c r="N24" s="67">
        <f t="shared" si="13"/>
        <v>172927.725007</v>
      </c>
      <c r="O24" s="67">
        <v>29371.598024999999</v>
      </c>
      <c r="P24" s="68">
        <f t="shared" si="12"/>
        <v>139157.77105799998</v>
      </c>
      <c r="Q24" s="67">
        <f>7507.673008+7300+13940.235768+13667.1965+14367.01659+23777.698983+15774.351095+26112.527839+13753.726705+2957.34457</f>
        <v>139157.77105799998</v>
      </c>
      <c r="R24" s="67"/>
      <c r="S24" s="67"/>
      <c r="T24" s="67"/>
      <c r="U24" s="67">
        <f t="shared" si="9"/>
        <v>4398.3559240000004</v>
      </c>
      <c r="V24" s="67">
        <v>406.32499999999999</v>
      </c>
      <c r="W24" s="67">
        <v>3992.0309240000001</v>
      </c>
      <c r="X24" s="67"/>
      <c r="Y24" s="67"/>
      <c r="Z24" s="67"/>
      <c r="AA24" s="67"/>
      <c r="AB24" s="67">
        <f t="shared" si="2"/>
        <v>175.49741786855344</v>
      </c>
      <c r="AC24" s="67"/>
      <c r="AD24" s="67">
        <f t="shared" si="3"/>
        <v>276.26565098568619</v>
      </c>
      <c r="AE24" s="67">
        <f t="shared" si="5"/>
        <v>38.878775956863791</v>
      </c>
    </row>
    <row r="25" spans="1:33" s="16" customFormat="1" ht="24.75" customHeight="1" x14ac:dyDescent="0.25">
      <c r="A25" s="65" t="s">
        <v>278</v>
      </c>
      <c r="B25" s="72" t="s">
        <v>563</v>
      </c>
      <c r="C25" s="67">
        <f t="shared" si="10"/>
        <v>409306</v>
      </c>
      <c r="D25" s="67">
        <v>84883</v>
      </c>
      <c r="E25" s="67">
        <f t="shared" si="11"/>
        <v>315936</v>
      </c>
      <c r="F25" s="67">
        <v>315736</v>
      </c>
      <c r="G25" s="67"/>
      <c r="H25" s="67">
        <v>200</v>
      </c>
      <c r="I25" s="67"/>
      <c r="J25" s="67"/>
      <c r="K25" s="67">
        <f t="shared" si="8"/>
        <v>8487</v>
      </c>
      <c r="L25" s="67">
        <v>3283</v>
      </c>
      <c r="M25" s="67">
        <v>5204</v>
      </c>
      <c r="N25" s="67">
        <f t="shared" si="13"/>
        <v>101549.14224299999</v>
      </c>
      <c r="O25" s="67">
        <v>76031.916853999996</v>
      </c>
      <c r="P25" s="68">
        <f t="shared" si="12"/>
        <v>23720.889868000002</v>
      </c>
      <c r="Q25" s="67">
        <f>1513.293841+10346.460741+6313.894837+5547.240449</f>
        <v>23720.889868000002</v>
      </c>
      <c r="R25" s="67"/>
      <c r="S25" s="67"/>
      <c r="T25" s="67"/>
      <c r="U25" s="67">
        <f t="shared" si="9"/>
        <v>1796.335521</v>
      </c>
      <c r="V25" s="67"/>
      <c r="W25" s="67">
        <f>373.054328+1423.281193</f>
        <v>1796.335521</v>
      </c>
      <c r="X25" s="67"/>
      <c r="Y25" s="67"/>
      <c r="Z25" s="67"/>
      <c r="AA25" s="67"/>
      <c r="AB25" s="67">
        <f t="shared" si="2"/>
        <v>24.810079071159475</v>
      </c>
      <c r="AC25" s="67">
        <f t="shared" si="2"/>
        <v>89.572608006314567</v>
      </c>
      <c r="AD25" s="67">
        <f t="shared" si="3"/>
        <v>7.508131351919376</v>
      </c>
      <c r="AE25" s="67">
        <f t="shared" si="5"/>
        <v>21.16573018734535</v>
      </c>
    </row>
    <row r="26" spans="1:33" s="16" customFormat="1" ht="34.5" customHeight="1" x14ac:dyDescent="0.25">
      <c r="A26" s="70" t="s">
        <v>280</v>
      </c>
      <c r="B26" s="72" t="s">
        <v>564</v>
      </c>
      <c r="C26" s="67">
        <f t="shared" si="10"/>
        <v>10155</v>
      </c>
      <c r="D26" s="67"/>
      <c r="E26" s="67">
        <f t="shared" si="11"/>
        <v>10032</v>
      </c>
      <c r="F26" s="67">
        <v>10002</v>
      </c>
      <c r="G26" s="67"/>
      <c r="H26" s="67">
        <v>30</v>
      </c>
      <c r="I26" s="67"/>
      <c r="J26" s="67"/>
      <c r="K26" s="67">
        <f t="shared" si="8"/>
        <v>123</v>
      </c>
      <c r="L26" s="67">
        <v>0</v>
      </c>
      <c r="M26" s="67">
        <v>123</v>
      </c>
      <c r="N26" s="67">
        <f>O26+P26+S26+T26+U26</f>
        <v>10398.520349999999</v>
      </c>
      <c r="O26" s="67"/>
      <c r="P26" s="68">
        <f t="shared" si="12"/>
        <v>10292.700349999999</v>
      </c>
      <c r="Q26" s="67">
        <f>1809+7768.70035+715</f>
        <v>10292.700349999999</v>
      </c>
      <c r="R26" s="67"/>
      <c r="S26" s="67"/>
      <c r="T26" s="67"/>
      <c r="U26" s="67">
        <f t="shared" si="9"/>
        <v>105.82</v>
      </c>
      <c r="V26" s="67"/>
      <c r="W26" s="67">
        <v>105.82</v>
      </c>
      <c r="X26" s="67"/>
      <c r="Y26" s="67"/>
      <c r="Z26" s="67"/>
      <c r="AA26" s="67"/>
      <c r="AB26" s="67">
        <f t="shared" si="2"/>
        <v>102.3980339734121</v>
      </c>
      <c r="AC26" s="67"/>
      <c r="AD26" s="67">
        <f t="shared" si="3"/>
        <v>102.59868769936205</v>
      </c>
      <c r="AE26" s="67">
        <f t="shared" si="5"/>
        <v>86.032520325203251</v>
      </c>
    </row>
    <row r="27" spans="1:33" s="16" customFormat="1" ht="24.75" customHeight="1" x14ac:dyDescent="0.25">
      <c r="A27" s="65" t="s">
        <v>282</v>
      </c>
      <c r="B27" s="72" t="s">
        <v>565</v>
      </c>
      <c r="C27" s="67">
        <f t="shared" si="10"/>
        <v>97404.214999999997</v>
      </c>
      <c r="D27" s="67">
        <v>13299.215000000004</v>
      </c>
      <c r="E27" s="67">
        <f t="shared" si="11"/>
        <v>84076</v>
      </c>
      <c r="F27" s="67">
        <v>84041</v>
      </c>
      <c r="G27" s="67"/>
      <c r="H27" s="67">
        <v>35</v>
      </c>
      <c r="I27" s="67"/>
      <c r="J27" s="67"/>
      <c r="K27" s="67">
        <f t="shared" si="8"/>
        <v>29</v>
      </c>
      <c r="L27" s="67">
        <v>0</v>
      </c>
      <c r="M27" s="67">
        <v>29</v>
      </c>
      <c r="N27" s="67">
        <f t="shared" si="13"/>
        <v>112761.037014</v>
      </c>
      <c r="O27" s="67">
        <v>31739.9764</v>
      </c>
      <c r="P27" s="68">
        <f t="shared" si="12"/>
        <v>80989.158614</v>
      </c>
      <c r="Q27" s="67"/>
      <c r="R27" s="67">
        <v>80989.158614</v>
      </c>
      <c r="S27" s="67"/>
      <c r="T27" s="67"/>
      <c r="U27" s="67">
        <f t="shared" si="9"/>
        <v>31.902000000000001</v>
      </c>
      <c r="V27" s="67"/>
      <c r="W27" s="67">
        <v>31.902000000000001</v>
      </c>
      <c r="X27" s="67"/>
      <c r="Y27" s="67"/>
      <c r="Z27" s="67"/>
      <c r="AA27" s="67"/>
      <c r="AB27" s="67">
        <f t="shared" si="2"/>
        <v>115.76607543523656</v>
      </c>
      <c r="AC27" s="67">
        <f t="shared" si="2"/>
        <v>238.66052545206608</v>
      </c>
      <c r="AD27" s="67">
        <f t="shared" si="3"/>
        <v>96.328510649888202</v>
      </c>
      <c r="AE27" s="67">
        <f t="shared" si="5"/>
        <v>110.00689655172415</v>
      </c>
    </row>
    <row r="28" spans="1:33" s="16" customFormat="1" ht="24.75" customHeight="1" x14ac:dyDescent="0.25">
      <c r="A28" s="70" t="s">
        <v>284</v>
      </c>
      <c r="B28" s="72" t="s">
        <v>566</v>
      </c>
      <c r="C28" s="67">
        <f t="shared" si="10"/>
        <v>19451</v>
      </c>
      <c r="D28" s="67"/>
      <c r="E28" s="67">
        <f t="shared" si="11"/>
        <v>19451</v>
      </c>
      <c r="F28" s="67">
        <v>19451</v>
      </c>
      <c r="G28" s="67"/>
      <c r="H28" s="67"/>
      <c r="I28" s="67"/>
      <c r="J28" s="67"/>
      <c r="K28" s="67">
        <f t="shared" si="8"/>
        <v>0</v>
      </c>
      <c r="L28" s="67"/>
      <c r="M28" s="67"/>
      <c r="N28" s="67">
        <f t="shared" si="13"/>
        <v>20287.062655000002</v>
      </c>
      <c r="O28" s="67">
        <v>6909.9779999999992</v>
      </c>
      <c r="P28" s="68">
        <f t="shared" si="12"/>
        <v>13377.084655000001</v>
      </c>
      <c r="Q28" s="67">
        <f>11735.752783+1641.331872</f>
        <v>13377.084655000001</v>
      </c>
      <c r="R28" s="67"/>
      <c r="S28" s="67"/>
      <c r="T28" s="67"/>
      <c r="U28" s="67">
        <f t="shared" si="9"/>
        <v>0</v>
      </c>
      <c r="V28" s="67"/>
      <c r="W28" s="67"/>
      <c r="X28" s="67"/>
      <c r="Y28" s="67"/>
      <c r="Z28" s="67"/>
      <c r="AA28" s="67"/>
      <c r="AB28" s="67">
        <f t="shared" ref="AB28:AC76" si="14">N28/C28%</f>
        <v>104.29830165544189</v>
      </c>
      <c r="AC28" s="67"/>
      <c r="AD28" s="67">
        <f t="shared" si="3"/>
        <v>68.773248958922423</v>
      </c>
      <c r="AE28" s="67"/>
    </row>
    <row r="29" spans="1:33" s="16" customFormat="1" ht="24.75" customHeight="1" x14ac:dyDescent="0.25">
      <c r="A29" s="65" t="s">
        <v>286</v>
      </c>
      <c r="B29" s="72" t="s">
        <v>567</v>
      </c>
      <c r="C29" s="67">
        <f t="shared" si="10"/>
        <v>12033</v>
      </c>
      <c r="D29" s="67"/>
      <c r="E29" s="67">
        <f t="shared" si="11"/>
        <v>11333</v>
      </c>
      <c r="F29" s="67">
        <v>11248</v>
      </c>
      <c r="G29" s="67"/>
      <c r="H29" s="67">
        <v>85</v>
      </c>
      <c r="I29" s="67"/>
      <c r="J29" s="67"/>
      <c r="K29" s="67">
        <f t="shared" si="8"/>
        <v>700</v>
      </c>
      <c r="L29" s="67">
        <v>0</v>
      </c>
      <c r="M29" s="67">
        <v>700</v>
      </c>
      <c r="N29" s="67">
        <f t="shared" si="13"/>
        <v>10548.70804</v>
      </c>
      <c r="O29" s="67"/>
      <c r="P29" s="68">
        <f t="shared" si="12"/>
        <v>9242.9102789999997</v>
      </c>
      <c r="Q29" s="67">
        <f>2592+4208+1515+327.910279+280+320</f>
        <v>9242.9102789999997</v>
      </c>
      <c r="R29" s="67"/>
      <c r="S29" s="67"/>
      <c r="T29" s="67"/>
      <c r="U29" s="67">
        <f t="shared" si="9"/>
        <v>1305.797761</v>
      </c>
      <c r="V29" s="67"/>
      <c r="W29" s="67">
        <f>383+922.797761</f>
        <v>1305.797761</v>
      </c>
      <c r="X29" s="67"/>
      <c r="Y29" s="67"/>
      <c r="Z29" s="67"/>
      <c r="AA29" s="67"/>
      <c r="AB29" s="67">
        <f t="shared" si="14"/>
        <v>87.664822072633584</v>
      </c>
      <c r="AC29" s="67"/>
      <c r="AD29" s="67">
        <f t="shared" si="3"/>
        <v>81.557489446748434</v>
      </c>
      <c r="AE29" s="67">
        <f t="shared" si="5"/>
        <v>186.5425372857143</v>
      </c>
    </row>
    <row r="30" spans="1:33" s="16" customFormat="1" ht="24.75" customHeight="1" x14ac:dyDescent="0.25">
      <c r="A30" s="70" t="s">
        <v>288</v>
      </c>
      <c r="B30" s="72" t="s">
        <v>568</v>
      </c>
      <c r="C30" s="67">
        <f t="shared" si="10"/>
        <v>24302</v>
      </c>
      <c r="D30" s="67"/>
      <c r="E30" s="67">
        <f t="shared" si="11"/>
        <v>20766</v>
      </c>
      <c r="F30" s="67">
        <v>20736</v>
      </c>
      <c r="G30" s="67"/>
      <c r="H30" s="67">
        <v>30</v>
      </c>
      <c r="I30" s="67"/>
      <c r="J30" s="67"/>
      <c r="K30" s="67">
        <f t="shared" si="8"/>
        <v>3536</v>
      </c>
      <c r="L30" s="67">
        <v>1169</v>
      </c>
      <c r="M30" s="67">
        <v>2367</v>
      </c>
      <c r="N30" s="67">
        <f t="shared" si="13"/>
        <v>26508.084105000002</v>
      </c>
      <c r="O30" s="67"/>
      <c r="P30" s="68">
        <f t="shared" si="12"/>
        <v>20782.108360000002</v>
      </c>
      <c r="Q30" s="68">
        <f>3718.122893+15099.512532+1964.472935</f>
        <v>20782.108360000002</v>
      </c>
      <c r="R30" s="67"/>
      <c r="S30" s="67"/>
      <c r="T30" s="67"/>
      <c r="U30" s="67">
        <f t="shared" si="9"/>
        <v>5725.9757449999997</v>
      </c>
      <c r="V30" s="67"/>
      <c r="W30" s="67">
        <v>5725.9757449999997</v>
      </c>
      <c r="X30" s="67"/>
      <c r="Y30" s="67"/>
      <c r="Z30" s="67"/>
      <c r="AA30" s="67"/>
      <c r="AB30" s="67">
        <f t="shared" si="14"/>
        <v>109.07778826845528</v>
      </c>
      <c r="AC30" s="67"/>
      <c r="AD30" s="67">
        <f t="shared" si="3"/>
        <v>100.07757083694501</v>
      </c>
      <c r="AE30" s="67">
        <f t="shared" si="5"/>
        <v>161.93370319570136</v>
      </c>
    </row>
    <row r="31" spans="1:33" s="16" customFormat="1" ht="24.75" customHeight="1" x14ac:dyDescent="0.25">
      <c r="A31" s="65" t="s">
        <v>290</v>
      </c>
      <c r="B31" s="72" t="s">
        <v>569</v>
      </c>
      <c r="C31" s="67">
        <f t="shared" si="10"/>
        <v>178749.886</v>
      </c>
      <c r="D31" s="67">
        <v>157580.886</v>
      </c>
      <c r="E31" s="67">
        <f t="shared" si="11"/>
        <v>21169</v>
      </c>
      <c r="F31" s="67">
        <v>21169</v>
      </c>
      <c r="G31" s="67"/>
      <c r="H31" s="67"/>
      <c r="I31" s="67"/>
      <c r="J31" s="67"/>
      <c r="K31" s="67">
        <f t="shared" si="8"/>
        <v>0</v>
      </c>
      <c r="L31" s="67"/>
      <c r="M31" s="67"/>
      <c r="N31" s="67">
        <f t="shared" si="13"/>
        <v>185380.741713</v>
      </c>
      <c r="O31" s="67">
        <f>164365.259597-5010.815</f>
        <v>159354.44459699999</v>
      </c>
      <c r="P31" s="68">
        <f t="shared" si="12"/>
        <v>26026.297116000002</v>
      </c>
      <c r="Q31" s="67">
        <f>11936.737+12821+1268.560116</f>
        <v>26026.297116000002</v>
      </c>
      <c r="R31" s="67"/>
      <c r="S31" s="67"/>
      <c r="T31" s="67"/>
      <c r="U31" s="67">
        <f t="shared" si="9"/>
        <v>0</v>
      </c>
      <c r="V31" s="67"/>
      <c r="W31" s="67"/>
      <c r="X31" s="67"/>
      <c r="Y31" s="67"/>
      <c r="Z31" s="67"/>
      <c r="AA31" s="67"/>
      <c r="AB31" s="67">
        <f t="shared" si="14"/>
        <v>103.70957199547529</v>
      </c>
      <c r="AC31" s="67">
        <f t="shared" si="14"/>
        <v>101.12549094120462</v>
      </c>
      <c r="AD31" s="67">
        <f t="shared" si="3"/>
        <v>122.94533098398603</v>
      </c>
      <c r="AE31" s="67"/>
    </row>
    <row r="32" spans="1:33" s="16" customFormat="1" ht="24.75" customHeight="1" x14ac:dyDescent="0.25">
      <c r="A32" s="70" t="s">
        <v>292</v>
      </c>
      <c r="B32" s="72" t="s">
        <v>289</v>
      </c>
      <c r="C32" s="67">
        <f t="shared" si="10"/>
        <v>50977.5</v>
      </c>
      <c r="D32" s="67">
        <v>27687.5</v>
      </c>
      <c r="E32" s="67">
        <f t="shared" si="11"/>
        <v>21547</v>
      </c>
      <c r="F32" s="67">
        <v>21547</v>
      </c>
      <c r="G32" s="67"/>
      <c r="H32" s="67"/>
      <c r="I32" s="67"/>
      <c r="J32" s="67"/>
      <c r="K32" s="67">
        <f t="shared" si="8"/>
        <v>1743</v>
      </c>
      <c r="L32" s="67"/>
      <c r="M32" s="67">
        <v>1743</v>
      </c>
      <c r="N32" s="67">
        <f t="shared" si="13"/>
        <v>55380.514730000003</v>
      </c>
      <c r="O32" s="67">
        <v>34762.809519999995</v>
      </c>
      <c r="P32" s="68">
        <f t="shared" si="12"/>
        <v>20570.873770000002</v>
      </c>
      <c r="Q32" s="67">
        <f>8687.871+8668.010775+3214.991995</f>
        <v>20570.873770000002</v>
      </c>
      <c r="R32" s="67"/>
      <c r="S32" s="67"/>
      <c r="T32" s="67"/>
      <c r="U32" s="67">
        <f t="shared" si="9"/>
        <v>46.831440000000001</v>
      </c>
      <c r="V32" s="67"/>
      <c r="W32" s="67">
        <v>46.831440000000001</v>
      </c>
      <c r="X32" s="67"/>
      <c r="Y32" s="67"/>
      <c r="Z32" s="67"/>
      <c r="AA32" s="67"/>
      <c r="AB32" s="67">
        <f t="shared" si="14"/>
        <v>108.63717273306852</v>
      </c>
      <c r="AC32" s="67"/>
      <c r="AD32" s="67">
        <f t="shared" si="3"/>
        <v>95.469781268854149</v>
      </c>
      <c r="AE32" s="67">
        <f t="shared" si="5"/>
        <v>2.6868296041308088</v>
      </c>
    </row>
    <row r="33" spans="1:31" s="16" customFormat="1" ht="24.75" customHeight="1" x14ac:dyDescent="0.25">
      <c r="A33" s="65" t="s">
        <v>293</v>
      </c>
      <c r="B33" s="72" t="s">
        <v>570</v>
      </c>
      <c r="C33" s="67">
        <f t="shared" si="10"/>
        <v>42110.400000000001</v>
      </c>
      <c r="D33" s="67">
        <v>25000</v>
      </c>
      <c r="E33" s="67">
        <f t="shared" si="11"/>
        <v>10423.4</v>
      </c>
      <c r="F33" s="67">
        <v>10423.4</v>
      </c>
      <c r="G33" s="67"/>
      <c r="H33" s="67"/>
      <c r="I33" s="67"/>
      <c r="J33" s="67"/>
      <c r="K33" s="67">
        <f t="shared" si="8"/>
        <v>6687</v>
      </c>
      <c r="L33" s="67">
        <v>0</v>
      </c>
      <c r="M33" s="67">
        <v>6687</v>
      </c>
      <c r="N33" s="67">
        <f t="shared" si="13"/>
        <v>58996.076718000004</v>
      </c>
      <c r="O33" s="67">
        <v>37748.898331000004</v>
      </c>
      <c r="P33" s="68">
        <f t="shared" si="12"/>
        <v>15026.852387000001</v>
      </c>
      <c r="Q33" s="67">
        <v>15026.852387000001</v>
      </c>
      <c r="R33" s="67"/>
      <c r="S33" s="67"/>
      <c r="T33" s="67"/>
      <c r="U33" s="67">
        <f t="shared" si="9"/>
        <v>6220.326</v>
      </c>
      <c r="V33" s="67"/>
      <c r="W33" s="67">
        <v>6220.326</v>
      </c>
      <c r="X33" s="67"/>
      <c r="Y33" s="67"/>
      <c r="Z33" s="67"/>
      <c r="AA33" s="67"/>
      <c r="AB33" s="67">
        <f t="shared" si="14"/>
        <v>140.09859017724838</v>
      </c>
      <c r="AC33" s="67"/>
      <c r="AD33" s="67">
        <f t="shared" si="3"/>
        <v>144.16459492104306</v>
      </c>
      <c r="AE33" s="67">
        <f t="shared" si="5"/>
        <v>93.021175414984299</v>
      </c>
    </row>
    <row r="34" spans="1:31" s="16" customFormat="1" ht="24.75" customHeight="1" x14ac:dyDescent="0.25">
      <c r="A34" s="70" t="s">
        <v>295</v>
      </c>
      <c r="B34" s="72" t="s">
        <v>660</v>
      </c>
      <c r="C34" s="67">
        <f t="shared" si="10"/>
        <v>60089.599999999999</v>
      </c>
      <c r="D34" s="67">
        <v>0</v>
      </c>
      <c r="E34" s="67">
        <f t="shared" si="11"/>
        <v>38132.6</v>
      </c>
      <c r="F34" s="67">
        <v>38132.6</v>
      </c>
      <c r="G34" s="67"/>
      <c r="H34" s="67"/>
      <c r="I34" s="67"/>
      <c r="J34" s="67"/>
      <c r="K34" s="67">
        <f t="shared" si="8"/>
        <v>21957</v>
      </c>
      <c r="L34" s="67">
        <v>16710</v>
      </c>
      <c r="M34" s="67">
        <v>5247</v>
      </c>
      <c r="N34" s="67">
        <f t="shared" si="13"/>
        <v>69296.687206000002</v>
      </c>
      <c r="O34" s="67">
        <v>25.400000000001455</v>
      </c>
      <c r="P34" s="68">
        <f t="shared" si="12"/>
        <v>41914.011009000002</v>
      </c>
      <c r="Q34" s="67">
        <f>24059.608098+17854.402911</f>
        <v>41914.011009000002</v>
      </c>
      <c r="R34" s="67"/>
      <c r="S34" s="67"/>
      <c r="T34" s="67"/>
      <c r="U34" s="67">
        <f t="shared" si="9"/>
        <v>27357.276196999999</v>
      </c>
      <c r="V34" s="67">
        <v>21152.292629</v>
      </c>
      <c r="W34" s="67">
        <f>6075.115325+129.868243</f>
        <v>6204.9835679999997</v>
      </c>
      <c r="X34" s="67"/>
      <c r="Y34" s="67"/>
      <c r="Z34" s="67"/>
      <c r="AA34" s="67"/>
      <c r="AB34" s="67">
        <f t="shared" si="14"/>
        <v>115.32226409561723</v>
      </c>
      <c r="AC34" s="67"/>
      <c r="AD34" s="67">
        <f t="shared" si="3"/>
        <v>109.91647831252001</v>
      </c>
      <c r="AE34" s="67">
        <f t="shared" si="5"/>
        <v>124.59478160495514</v>
      </c>
    </row>
    <row r="35" spans="1:31" s="16" customFormat="1" ht="24.75" customHeight="1" x14ac:dyDescent="0.25">
      <c r="A35" s="65" t="s">
        <v>296</v>
      </c>
      <c r="B35" s="72" t="s">
        <v>571</v>
      </c>
      <c r="C35" s="67">
        <f t="shared" si="10"/>
        <v>9651</v>
      </c>
      <c r="D35" s="67"/>
      <c r="E35" s="67">
        <f t="shared" si="11"/>
        <v>9651</v>
      </c>
      <c r="F35" s="67">
        <v>9651</v>
      </c>
      <c r="G35" s="67"/>
      <c r="H35" s="67"/>
      <c r="I35" s="67"/>
      <c r="J35" s="67"/>
      <c r="K35" s="67">
        <f t="shared" si="8"/>
        <v>0</v>
      </c>
      <c r="L35" s="67"/>
      <c r="M35" s="67"/>
      <c r="N35" s="67">
        <f t="shared" si="13"/>
        <v>9561.622836999999</v>
      </c>
      <c r="O35" s="67">
        <v>39.799999999999997</v>
      </c>
      <c r="P35" s="68">
        <f t="shared" si="12"/>
        <v>9521.8228369999997</v>
      </c>
      <c r="Q35" s="67">
        <v>9521.8228369999997</v>
      </c>
      <c r="R35" s="67"/>
      <c r="S35" s="67"/>
      <c r="T35" s="67"/>
      <c r="U35" s="67">
        <f t="shared" si="9"/>
        <v>0</v>
      </c>
      <c r="V35" s="67"/>
      <c r="W35" s="67"/>
      <c r="X35" s="67"/>
      <c r="Y35" s="67"/>
      <c r="Z35" s="67"/>
      <c r="AA35" s="67"/>
      <c r="AB35" s="67">
        <f t="shared" si="14"/>
        <v>99.073907750492168</v>
      </c>
      <c r="AC35" s="67"/>
      <c r="AD35" s="67">
        <f t="shared" si="3"/>
        <v>98.661515252305449</v>
      </c>
      <c r="AE35" s="67"/>
    </row>
    <row r="36" spans="1:31" s="16" customFormat="1" ht="24.75" customHeight="1" x14ac:dyDescent="0.25">
      <c r="A36" s="70" t="s">
        <v>298</v>
      </c>
      <c r="B36" s="72" t="s">
        <v>572</v>
      </c>
      <c r="C36" s="67">
        <f t="shared" si="10"/>
        <v>27508.375</v>
      </c>
      <c r="D36" s="67">
        <v>9082.375</v>
      </c>
      <c r="E36" s="67">
        <f t="shared" si="11"/>
        <v>18426</v>
      </c>
      <c r="F36" s="67">
        <v>18381</v>
      </c>
      <c r="G36" s="67"/>
      <c r="H36" s="67">
        <v>45</v>
      </c>
      <c r="I36" s="67"/>
      <c r="J36" s="67"/>
      <c r="K36" s="67">
        <f t="shared" si="8"/>
        <v>0</v>
      </c>
      <c r="L36" s="67"/>
      <c r="M36" s="67"/>
      <c r="N36" s="67">
        <f t="shared" si="13"/>
        <v>27097.081559999999</v>
      </c>
      <c r="O36" s="67">
        <v>9082.375</v>
      </c>
      <c r="P36" s="68">
        <f t="shared" si="12"/>
        <v>18014.706559999999</v>
      </c>
      <c r="Q36" s="67">
        <v>18014.706559999999</v>
      </c>
      <c r="R36" s="67"/>
      <c r="S36" s="67"/>
      <c r="T36" s="67"/>
      <c r="U36" s="67"/>
      <c r="V36" s="67"/>
      <c r="W36" s="67"/>
      <c r="X36" s="67"/>
      <c r="Y36" s="67"/>
      <c r="Z36" s="67"/>
      <c r="AA36" s="67"/>
      <c r="AB36" s="67">
        <f t="shared" si="14"/>
        <v>98.504842834227745</v>
      </c>
      <c r="AC36" s="67">
        <f t="shared" si="14"/>
        <v>100</v>
      </c>
      <c r="AD36" s="67">
        <f t="shared" si="3"/>
        <v>97.767863670899814</v>
      </c>
      <c r="AE36" s="67"/>
    </row>
    <row r="37" spans="1:31" s="16" customFormat="1" ht="24.75" customHeight="1" x14ac:dyDescent="0.25">
      <c r="A37" s="65" t="s">
        <v>299</v>
      </c>
      <c r="B37" s="72" t="s">
        <v>131</v>
      </c>
      <c r="C37" s="67">
        <f t="shared" si="10"/>
        <v>27323</v>
      </c>
      <c r="D37" s="67">
        <v>0</v>
      </c>
      <c r="E37" s="67">
        <f t="shared" si="11"/>
        <v>5216</v>
      </c>
      <c r="F37" s="67">
        <v>5216</v>
      </c>
      <c r="G37" s="67"/>
      <c r="H37" s="67"/>
      <c r="I37" s="67"/>
      <c r="J37" s="67"/>
      <c r="K37" s="67">
        <f t="shared" si="8"/>
        <v>22107</v>
      </c>
      <c r="L37" s="67">
        <v>2506</v>
      </c>
      <c r="M37" s="67">
        <v>19601</v>
      </c>
      <c r="N37" s="67">
        <f t="shared" si="13"/>
        <v>32259.303383000002</v>
      </c>
      <c r="O37" s="67">
        <v>11771.437109</v>
      </c>
      <c r="P37" s="68">
        <f t="shared" si="12"/>
        <v>3593.067</v>
      </c>
      <c r="Q37" s="67">
        <f>3472+121.067</f>
        <v>3593.067</v>
      </c>
      <c r="R37" s="67"/>
      <c r="S37" s="67"/>
      <c r="T37" s="67"/>
      <c r="U37" s="67">
        <f>V37+W37</f>
        <v>16894.799274000001</v>
      </c>
      <c r="V37" s="67">
        <v>4291</v>
      </c>
      <c r="W37" s="67">
        <v>12603.799274000001</v>
      </c>
      <c r="X37" s="67"/>
      <c r="Y37" s="67"/>
      <c r="Z37" s="67"/>
      <c r="AA37" s="67"/>
      <c r="AB37" s="67">
        <f t="shared" si="14"/>
        <v>118.06647653259159</v>
      </c>
      <c r="AC37" s="67"/>
      <c r="AD37" s="67">
        <f t="shared" si="3"/>
        <v>68.885486963190189</v>
      </c>
      <c r="AE37" s="67">
        <f t="shared" si="5"/>
        <v>76.422849206133805</v>
      </c>
    </row>
    <row r="38" spans="1:31" s="16" customFormat="1" ht="24.75" customHeight="1" x14ac:dyDescent="0.25">
      <c r="A38" s="70" t="s">
        <v>301</v>
      </c>
      <c r="B38" s="72" t="s">
        <v>294</v>
      </c>
      <c r="C38" s="67">
        <f t="shared" si="10"/>
        <v>8447</v>
      </c>
      <c r="D38" s="67"/>
      <c r="E38" s="67">
        <f t="shared" si="11"/>
        <v>8447</v>
      </c>
      <c r="F38" s="67">
        <v>8447</v>
      </c>
      <c r="G38" s="67"/>
      <c r="H38" s="67"/>
      <c r="I38" s="67"/>
      <c r="J38" s="67"/>
      <c r="K38" s="67">
        <f t="shared" si="8"/>
        <v>0</v>
      </c>
      <c r="L38" s="67"/>
      <c r="M38" s="67"/>
      <c r="N38" s="67">
        <f t="shared" si="13"/>
        <v>25830.429695999999</v>
      </c>
      <c r="O38" s="67"/>
      <c r="P38" s="68">
        <f t="shared" si="12"/>
        <v>25830.429695999999</v>
      </c>
      <c r="Q38" s="67">
        <f>14646.1703+11184.259396</f>
        <v>25830.429695999999</v>
      </c>
      <c r="R38" s="67"/>
      <c r="S38" s="67"/>
      <c r="T38" s="67"/>
      <c r="U38" s="67">
        <f>V38+W38</f>
        <v>0</v>
      </c>
      <c r="V38" s="67"/>
      <c r="W38" s="67"/>
      <c r="X38" s="67"/>
      <c r="Y38" s="67"/>
      <c r="Z38" s="67"/>
      <c r="AA38" s="67"/>
      <c r="AB38" s="67">
        <f t="shared" si="14"/>
        <v>305.79412449390315</v>
      </c>
      <c r="AC38" s="67"/>
      <c r="AD38" s="67">
        <f t="shared" si="3"/>
        <v>305.79412449390315</v>
      </c>
      <c r="AE38" s="67"/>
    </row>
    <row r="39" spans="1:31" s="16" customFormat="1" ht="24.75" customHeight="1" x14ac:dyDescent="0.25">
      <c r="A39" s="65" t="s">
        <v>303</v>
      </c>
      <c r="B39" s="72" t="s">
        <v>661</v>
      </c>
      <c r="C39" s="67">
        <f t="shared" si="10"/>
        <v>7029</v>
      </c>
      <c r="D39" s="67"/>
      <c r="E39" s="67">
        <f t="shared" si="11"/>
        <v>7029</v>
      </c>
      <c r="F39" s="67">
        <v>7029</v>
      </c>
      <c r="G39" s="67"/>
      <c r="H39" s="67"/>
      <c r="I39" s="67"/>
      <c r="J39" s="67"/>
      <c r="K39" s="67">
        <f t="shared" si="8"/>
        <v>0</v>
      </c>
      <c r="L39" s="67"/>
      <c r="M39" s="67"/>
      <c r="N39" s="67">
        <f t="shared" si="13"/>
        <v>9122.3751250000005</v>
      </c>
      <c r="O39" s="67"/>
      <c r="P39" s="68">
        <f t="shared" si="12"/>
        <v>9122.3751250000005</v>
      </c>
      <c r="Q39" s="67">
        <v>9122.3751250000005</v>
      </c>
      <c r="R39" s="67"/>
      <c r="S39" s="67"/>
      <c r="T39" s="67"/>
      <c r="U39" s="67">
        <f t="shared" ref="U39:U91" si="15">V39+W39</f>
        <v>0</v>
      </c>
      <c r="V39" s="67"/>
      <c r="W39" s="67"/>
      <c r="X39" s="67"/>
      <c r="Y39" s="67"/>
      <c r="Z39" s="67"/>
      <c r="AA39" s="67"/>
      <c r="AB39" s="67">
        <f t="shared" si="14"/>
        <v>129.78197645468771</v>
      </c>
      <c r="AC39" s="67"/>
      <c r="AD39" s="67">
        <f t="shared" si="3"/>
        <v>129.78197645468771</v>
      </c>
      <c r="AE39" s="67"/>
    </row>
    <row r="40" spans="1:31" s="16" customFormat="1" ht="24.75" customHeight="1" x14ac:dyDescent="0.25">
      <c r="A40" s="70" t="s">
        <v>305</v>
      </c>
      <c r="B40" s="72" t="s">
        <v>573</v>
      </c>
      <c r="C40" s="67">
        <f t="shared" si="10"/>
        <v>15719</v>
      </c>
      <c r="D40" s="67"/>
      <c r="E40" s="67">
        <f t="shared" si="11"/>
        <v>15719</v>
      </c>
      <c r="F40" s="67">
        <v>15719</v>
      </c>
      <c r="G40" s="67"/>
      <c r="H40" s="67"/>
      <c r="I40" s="67"/>
      <c r="J40" s="67"/>
      <c r="K40" s="67">
        <f t="shared" si="8"/>
        <v>0</v>
      </c>
      <c r="L40" s="67"/>
      <c r="M40" s="67"/>
      <c r="N40" s="67">
        <f t="shared" si="13"/>
        <v>21624.831206000003</v>
      </c>
      <c r="O40" s="67">
        <v>6636.9480000000003</v>
      </c>
      <c r="P40" s="68">
        <f t="shared" si="12"/>
        <v>14987.883206</v>
      </c>
      <c r="Q40" s="67">
        <v>14987.883206</v>
      </c>
      <c r="R40" s="67"/>
      <c r="S40" s="67"/>
      <c r="T40" s="67"/>
      <c r="U40" s="67">
        <f t="shared" si="15"/>
        <v>0</v>
      </c>
      <c r="V40" s="67"/>
      <c r="W40" s="67"/>
      <c r="X40" s="67"/>
      <c r="Y40" s="67"/>
      <c r="Z40" s="67"/>
      <c r="AA40" s="67"/>
      <c r="AB40" s="67">
        <f t="shared" si="14"/>
        <v>137.57129083275018</v>
      </c>
      <c r="AC40" s="67"/>
      <c r="AD40" s="67">
        <f t="shared" si="3"/>
        <v>95.348833933456334</v>
      </c>
      <c r="AE40" s="67"/>
    </row>
    <row r="41" spans="1:31" s="16" customFormat="1" ht="24.75" customHeight="1" x14ac:dyDescent="0.25">
      <c r="A41" s="65" t="s">
        <v>307</v>
      </c>
      <c r="B41" s="72" t="s">
        <v>574</v>
      </c>
      <c r="C41" s="67">
        <f t="shared" si="10"/>
        <v>99218.957999999999</v>
      </c>
      <c r="D41" s="67">
        <v>83441.957999999999</v>
      </c>
      <c r="E41" s="67">
        <f>F41+G41+H41</f>
        <v>15748</v>
      </c>
      <c r="F41" s="67">
        <v>13748</v>
      </c>
      <c r="G41" s="67"/>
      <c r="H41" s="67">
        <v>2000</v>
      </c>
      <c r="I41" s="67"/>
      <c r="J41" s="67"/>
      <c r="K41" s="67">
        <f t="shared" si="8"/>
        <v>29</v>
      </c>
      <c r="L41" s="67">
        <v>0</v>
      </c>
      <c r="M41" s="67">
        <v>29</v>
      </c>
      <c r="N41" s="67">
        <f t="shared" si="13"/>
        <v>99626.735323000001</v>
      </c>
      <c r="O41" s="67">
        <f>97830.404678-12206.46313</f>
        <v>85623.941548000003</v>
      </c>
      <c r="P41" s="68">
        <f t="shared" si="12"/>
        <v>13973.393775</v>
      </c>
      <c r="Q41" s="67">
        <f>7886.594623+2470.487909+3616.311243</f>
        <v>13973.393775</v>
      </c>
      <c r="R41" s="67"/>
      <c r="S41" s="67"/>
      <c r="T41" s="67"/>
      <c r="U41" s="67">
        <f t="shared" si="15"/>
        <v>29.4</v>
      </c>
      <c r="V41" s="67"/>
      <c r="W41" s="67">
        <v>29.4</v>
      </c>
      <c r="X41" s="67"/>
      <c r="Y41" s="67"/>
      <c r="Z41" s="67"/>
      <c r="AA41" s="67"/>
      <c r="AB41" s="67">
        <f t="shared" si="14"/>
        <v>100.41098730647826</v>
      </c>
      <c r="AC41" s="67"/>
      <c r="AD41" s="67">
        <f t="shared" si="3"/>
        <v>88.731227933705881</v>
      </c>
      <c r="AE41" s="67">
        <f t="shared" si="5"/>
        <v>101.37931034482759</v>
      </c>
    </row>
    <row r="42" spans="1:31" s="16" customFormat="1" ht="24.75" customHeight="1" x14ac:dyDescent="0.25">
      <c r="A42" s="70" t="s">
        <v>309</v>
      </c>
      <c r="B42" s="72" t="s">
        <v>575</v>
      </c>
      <c r="C42" s="67">
        <f t="shared" si="10"/>
        <v>10049</v>
      </c>
      <c r="D42" s="67"/>
      <c r="E42" s="67">
        <f t="shared" si="11"/>
        <v>10020</v>
      </c>
      <c r="F42" s="67">
        <v>10020</v>
      </c>
      <c r="G42" s="67"/>
      <c r="H42" s="67"/>
      <c r="I42" s="67"/>
      <c r="J42" s="67"/>
      <c r="K42" s="67">
        <f t="shared" si="8"/>
        <v>29</v>
      </c>
      <c r="L42" s="67">
        <v>0</v>
      </c>
      <c r="M42" s="67">
        <v>29</v>
      </c>
      <c r="N42" s="67">
        <f t="shared" si="13"/>
        <v>11498.555909000001</v>
      </c>
      <c r="O42" s="67"/>
      <c r="P42" s="68">
        <f t="shared" si="12"/>
        <v>11466.555909000001</v>
      </c>
      <c r="Q42" s="67">
        <f>11498.555909-32</f>
        <v>11466.555909000001</v>
      </c>
      <c r="R42" s="67"/>
      <c r="S42" s="67"/>
      <c r="T42" s="67"/>
      <c r="U42" s="67">
        <f t="shared" si="15"/>
        <v>32</v>
      </c>
      <c r="V42" s="67"/>
      <c r="W42" s="67">
        <v>32</v>
      </c>
      <c r="X42" s="67"/>
      <c r="Y42" s="67"/>
      <c r="Z42" s="67"/>
      <c r="AA42" s="67"/>
      <c r="AB42" s="67">
        <f t="shared" si="14"/>
        <v>114.42487719176039</v>
      </c>
      <c r="AC42" s="67"/>
      <c r="AD42" s="67">
        <f t="shared" si="3"/>
        <v>114.43668571856287</v>
      </c>
      <c r="AE42" s="67">
        <f t="shared" si="5"/>
        <v>110.3448275862069</v>
      </c>
    </row>
    <row r="43" spans="1:31" s="16" customFormat="1" ht="24.75" customHeight="1" x14ac:dyDescent="0.25">
      <c r="A43" s="65" t="s">
        <v>311</v>
      </c>
      <c r="B43" s="72" t="s">
        <v>304</v>
      </c>
      <c r="C43" s="67">
        <f t="shared" si="10"/>
        <v>91836</v>
      </c>
      <c r="D43" s="67">
        <v>56422</v>
      </c>
      <c r="E43" s="67">
        <f t="shared" si="11"/>
        <v>35414</v>
      </c>
      <c r="F43" s="67">
        <v>35414</v>
      </c>
      <c r="G43" s="67"/>
      <c r="H43" s="67"/>
      <c r="I43" s="67"/>
      <c r="J43" s="67"/>
      <c r="K43" s="67">
        <f t="shared" si="8"/>
        <v>0</v>
      </c>
      <c r="L43" s="67"/>
      <c r="M43" s="67"/>
      <c r="N43" s="67">
        <f t="shared" si="13"/>
        <v>35465.216394000003</v>
      </c>
      <c r="O43" s="67">
        <f>38166.238138-33506.169138</f>
        <v>4660.0690000000031</v>
      </c>
      <c r="P43" s="68">
        <f t="shared" si="12"/>
        <v>30805.147394</v>
      </c>
      <c r="Q43" s="67">
        <f>26681.46909+4123.678304</f>
        <v>30805.147394</v>
      </c>
      <c r="R43" s="67"/>
      <c r="S43" s="67"/>
      <c r="T43" s="67"/>
      <c r="U43" s="67">
        <f t="shared" si="15"/>
        <v>0</v>
      </c>
      <c r="V43" s="67"/>
      <c r="W43" s="67"/>
      <c r="X43" s="67"/>
      <c r="Y43" s="67"/>
      <c r="Z43" s="67"/>
      <c r="AA43" s="67"/>
      <c r="AB43" s="67">
        <f t="shared" si="14"/>
        <v>38.617989017378811</v>
      </c>
      <c r="AC43" s="67">
        <f t="shared" si="14"/>
        <v>8.2593119705079623</v>
      </c>
      <c r="AD43" s="67">
        <f t="shared" si="3"/>
        <v>86.985789218952959</v>
      </c>
      <c r="AE43" s="67"/>
    </row>
    <row r="44" spans="1:31" s="16" customFormat="1" ht="24.75" customHeight="1" x14ac:dyDescent="0.25">
      <c r="A44" s="70" t="s">
        <v>313</v>
      </c>
      <c r="B44" s="72" t="s">
        <v>576</v>
      </c>
      <c r="C44" s="67">
        <f t="shared" si="10"/>
        <v>2667</v>
      </c>
      <c r="D44" s="67"/>
      <c r="E44" s="67">
        <f t="shared" si="11"/>
        <v>2667</v>
      </c>
      <c r="F44" s="67">
        <v>2637</v>
      </c>
      <c r="G44" s="67"/>
      <c r="H44" s="67">
        <v>30</v>
      </c>
      <c r="I44" s="67"/>
      <c r="J44" s="67"/>
      <c r="K44" s="67">
        <f t="shared" si="8"/>
        <v>0</v>
      </c>
      <c r="L44" s="67"/>
      <c r="M44" s="67"/>
      <c r="N44" s="67">
        <f t="shared" si="13"/>
        <v>2436.4227599999999</v>
      </c>
      <c r="O44" s="67"/>
      <c r="P44" s="68">
        <f t="shared" si="12"/>
        <v>2436.4227599999999</v>
      </c>
      <c r="Q44" s="67">
        <v>2436.4227599999999</v>
      </c>
      <c r="R44" s="67"/>
      <c r="S44" s="67"/>
      <c r="T44" s="67"/>
      <c r="U44" s="67">
        <f t="shared" si="15"/>
        <v>0</v>
      </c>
      <c r="V44" s="67"/>
      <c r="W44" s="67"/>
      <c r="X44" s="67"/>
      <c r="Y44" s="67"/>
      <c r="Z44" s="67"/>
      <c r="AA44" s="67"/>
      <c r="AB44" s="67">
        <f t="shared" si="14"/>
        <v>91.354434195725531</v>
      </c>
      <c r="AC44" s="67"/>
      <c r="AD44" s="67">
        <f t="shared" si="3"/>
        <v>91.354434195725531</v>
      </c>
      <c r="AE44" s="67"/>
    </row>
    <row r="45" spans="1:31" s="114" customFormat="1" ht="24.75" hidden="1" customHeight="1" outlineLevel="1" x14ac:dyDescent="0.25">
      <c r="A45" s="65" t="s">
        <v>315</v>
      </c>
      <c r="B45" s="72" t="s">
        <v>577</v>
      </c>
      <c r="C45" s="67">
        <f t="shared" si="10"/>
        <v>7431</v>
      </c>
      <c r="D45" s="67"/>
      <c r="E45" s="67">
        <f t="shared" si="11"/>
        <v>6931</v>
      </c>
      <c r="F45" s="67">
        <v>6931</v>
      </c>
      <c r="G45" s="67"/>
      <c r="H45" s="67"/>
      <c r="I45" s="67"/>
      <c r="J45" s="67"/>
      <c r="K45" s="67">
        <f t="shared" si="8"/>
        <v>500</v>
      </c>
      <c r="L45" s="67">
        <v>0</v>
      </c>
      <c r="M45" s="67">
        <v>500</v>
      </c>
      <c r="N45" s="67">
        <f t="shared" si="13"/>
        <v>5672.6329999999998</v>
      </c>
      <c r="O45" s="67"/>
      <c r="P45" s="68">
        <f t="shared" si="12"/>
        <v>5158.6329999999998</v>
      </c>
      <c r="Q45" s="67">
        <f>3672+1486.633</f>
        <v>5158.6329999999998</v>
      </c>
      <c r="R45" s="67"/>
      <c r="S45" s="67"/>
      <c r="T45" s="67"/>
      <c r="U45" s="67">
        <f t="shared" si="15"/>
        <v>514</v>
      </c>
      <c r="V45" s="67"/>
      <c r="W45" s="67">
        <v>514</v>
      </c>
      <c r="X45" s="67"/>
      <c r="Y45" s="67"/>
      <c r="Z45" s="67"/>
      <c r="AA45" s="67"/>
      <c r="AB45" s="67">
        <f t="shared" si="14"/>
        <v>76.337410846454034</v>
      </c>
      <c r="AC45" s="67"/>
      <c r="AD45" s="67">
        <f t="shared" si="3"/>
        <v>74.428408599047756</v>
      </c>
      <c r="AE45" s="67">
        <f t="shared" si="5"/>
        <v>102.8</v>
      </c>
    </row>
    <row r="46" spans="1:31" s="16" customFormat="1" ht="33.75" customHeight="1" collapsed="1" x14ac:dyDescent="0.25">
      <c r="A46" s="70" t="s">
        <v>316</v>
      </c>
      <c r="B46" s="72" t="s">
        <v>310</v>
      </c>
      <c r="C46" s="67">
        <f t="shared" si="10"/>
        <v>8585</v>
      </c>
      <c r="D46" s="67"/>
      <c r="E46" s="67">
        <f t="shared" si="11"/>
        <v>8400</v>
      </c>
      <c r="F46" s="67">
        <v>8365</v>
      </c>
      <c r="G46" s="67"/>
      <c r="H46" s="67">
        <v>35</v>
      </c>
      <c r="I46" s="67"/>
      <c r="J46" s="67"/>
      <c r="K46" s="67">
        <f t="shared" si="8"/>
        <v>185</v>
      </c>
      <c r="L46" s="67">
        <v>0</v>
      </c>
      <c r="M46" s="67">
        <v>185</v>
      </c>
      <c r="N46" s="67">
        <f t="shared" si="13"/>
        <v>8212.285084000001</v>
      </c>
      <c r="O46" s="67"/>
      <c r="P46" s="68">
        <f t="shared" si="12"/>
        <v>7897.9468340000003</v>
      </c>
      <c r="Q46" s="67">
        <f>5010+2887.946834</f>
        <v>7897.9468340000003</v>
      </c>
      <c r="R46" s="67"/>
      <c r="S46" s="67"/>
      <c r="T46" s="67"/>
      <c r="U46" s="67">
        <f t="shared" si="15"/>
        <v>314.33825000000002</v>
      </c>
      <c r="V46" s="67"/>
      <c r="W46" s="67">
        <v>314.33825000000002</v>
      </c>
      <c r="X46" s="67"/>
      <c r="Y46" s="67"/>
      <c r="Z46" s="67"/>
      <c r="AA46" s="67"/>
      <c r="AB46" s="67">
        <f t="shared" si="14"/>
        <v>95.658533302271422</v>
      </c>
      <c r="AC46" s="67"/>
      <c r="AD46" s="67">
        <f t="shared" si="3"/>
        <v>94.023176595238098</v>
      </c>
      <c r="AE46" s="67">
        <f t="shared" si="5"/>
        <v>169.91256756756758</v>
      </c>
    </row>
    <row r="47" spans="1:31" s="16" customFormat="1" ht="24.75" customHeight="1" x14ac:dyDescent="0.25">
      <c r="A47" s="65" t="s">
        <v>318</v>
      </c>
      <c r="B47" s="72" t="s">
        <v>578</v>
      </c>
      <c r="C47" s="67">
        <f t="shared" si="10"/>
        <v>17055</v>
      </c>
      <c r="D47" s="67"/>
      <c r="E47" s="67">
        <f t="shared" si="11"/>
        <v>6190</v>
      </c>
      <c r="F47" s="67">
        <v>5960</v>
      </c>
      <c r="G47" s="67"/>
      <c r="H47" s="67">
        <v>230</v>
      </c>
      <c r="I47" s="67"/>
      <c r="J47" s="67"/>
      <c r="K47" s="67">
        <f t="shared" si="8"/>
        <v>10865</v>
      </c>
      <c r="L47" s="67">
        <v>0</v>
      </c>
      <c r="M47" s="67">
        <v>10865</v>
      </c>
      <c r="N47" s="67">
        <f t="shared" si="13"/>
        <v>10061.115204</v>
      </c>
      <c r="O47" s="67"/>
      <c r="P47" s="68">
        <f t="shared" si="12"/>
        <v>6383.2314539999998</v>
      </c>
      <c r="Q47" s="67">
        <f>4468.931454+1914.3</f>
        <v>6383.2314539999998</v>
      </c>
      <c r="R47" s="67"/>
      <c r="S47" s="67"/>
      <c r="T47" s="67"/>
      <c r="U47" s="67">
        <f t="shared" si="15"/>
        <v>3677.88375</v>
      </c>
      <c r="V47" s="67"/>
      <c r="W47" s="67">
        <v>3677.88375</v>
      </c>
      <c r="X47" s="67"/>
      <c r="Y47" s="67"/>
      <c r="Z47" s="67"/>
      <c r="AA47" s="67"/>
      <c r="AB47" s="67">
        <f t="shared" si="14"/>
        <v>58.992173579595423</v>
      </c>
      <c r="AC47" s="67"/>
      <c r="AD47" s="67">
        <f t="shared" si="3"/>
        <v>103.1216713085622</v>
      </c>
      <c r="AE47" s="67">
        <f t="shared" si="5"/>
        <v>33.850747814081913</v>
      </c>
    </row>
    <row r="48" spans="1:31" s="16" customFormat="1" ht="54" customHeight="1" x14ac:dyDescent="0.25">
      <c r="A48" s="70" t="s">
        <v>320</v>
      </c>
      <c r="B48" s="72" t="s">
        <v>662</v>
      </c>
      <c r="C48" s="67">
        <f t="shared" si="10"/>
        <v>849042.3</v>
      </c>
      <c r="D48" s="67">
        <v>849042.3</v>
      </c>
      <c r="E48" s="67">
        <f t="shared" si="11"/>
        <v>0</v>
      </c>
      <c r="F48" s="67"/>
      <c r="G48" s="67"/>
      <c r="H48" s="67"/>
      <c r="I48" s="67"/>
      <c r="J48" s="67"/>
      <c r="K48" s="67">
        <f t="shared" si="8"/>
        <v>0</v>
      </c>
      <c r="L48" s="67"/>
      <c r="M48" s="67"/>
      <c r="N48" s="67">
        <f t="shared" si="13"/>
        <v>160637.16208800001</v>
      </c>
      <c r="O48" s="67">
        <f>221470.28202-60833.119932</f>
        <v>160637.16208800001</v>
      </c>
      <c r="P48" s="68">
        <f t="shared" si="12"/>
        <v>0</v>
      </c>
      <c r="Q48" s="67"/>
      <c r="R48" s="67"/>
      <c r="S48" s="67"/>
      <c r="T48" s="67"/>
      <c r="U48" s="67">
        <f t="shared" si="15"/>
        <v>0</v>
      </c>
      <c r="V48" s="67"/>
      <c r="W48" s="67"/>
      <c r="X48" s="67"/>
      <c r="Y48" s="67"/>
      <c r="Z48" s="67"/>
      <c r="AA48" s="67"/>
      <c r="AB48" s="67">
        <f t="shared" si="14"/>
        <v>18.919806714930456</v>
      </c>
      <c r="AC48" s="67"/>
      <c r="AD48" s="67"/>
      <c r="AE48" s="67"/>
    </row>
    <row r="49" spans="1:31" s="16" customFormat="1" ht="36.75" customHeight="1" x14ac:dyDescent="0.25">
      <c r="A49" s="65" t="s">
        <v>322</v>
      </c>
      <c r="B49" s="72" t="s">
        <v>350</v>
      </c>
      <c r="C49" s="67">
        <f t="shared" si="10"/>
        <v>18823</v>
      </c>
      <c r="D49" s="67">
        <v>18823</v>
      </c>
      <c r="E49" s="67">
        <f t="shared" si="11"/>
        <v>0</v>
      </c>
      <c r="F49" s="67"/>
      <c r="G49" s="67"/>
      <c r="H49" s="67"/>
      <c r="I49" s="67"/>
      <c r="J49" s="67"/>
      <c r="K49" s="67">
        <f t="shared" si="8"/>
        <v>0</v>
      </c>
      <c r="L49" s="67"/>
      <c r="M49" s="67"/>
      <c r="N49" s="67">
        <f t="shared" si="13"/>
        <v>8716.9459999999999</v>
      </c>
      <c r="O49" s="67">
        <v>8716.9459999999999</v>
      </c>
      <c r="P49" s="68">
        <f t="shared" si="12"/>
        <v>0</v>
      </c>
      <c r="Q49" s="67"/>
      <c r="R49" s="67"/>
      <c r="S49" s="67"/>
      <c r="T49" s="67"/>
      <c r="U49" s="67">
        <f t="shared" si="15"/>
        <v>0</v>
      </c>
      <c r="V49" s="67"/>
      <c r="W49" s="67"/>
      <c r="X49" s="67"/>
      <c r="Y49" s="67"/>
      <c r="Z49" s="67"/>
      <c r="AA49" s="67"/>
      <c r="AB49" s="67">
        <f t="shared" si="14"/>
        <v>46.310078095946452</v>
      </c>
      <c r="AC49" s="67"/>
      <c r="AD49" s="67"/>
      <c r="AE49" s="67"/>
    </row>
    <row r="50" spans="1:31" s="16" customFormat="1" ht="24.75" customHeight="1" x14ac:dyDescent="0.25">
      <c r="A50" s="70" t="s">
        <v>324</v>
      </c>
      <c r="B50" s="72" t="s">
        <v>579</v>
      </c>
      <c r="C50" s="67">
        <f t="shared" si="10"/>
        <v>35000</v>
      </c>
      <c r="D50" s="67">
        <v>35000</v>
      </c>
      <c r="E50" s="67">
        <f t="shared" si="11"/>
        <v>0</v>
      </c>
      <c r="F50" s="67"/>
      <c r="G50" s="67"/>
      <c r="H50" s="67"/>
      <c r="I50" s="67"/>
      <c r="J50" s="67"/>
      <c r="K50" s="67">
        <f t="shared" si="8"/>
        <v>0</v>
      </c>
      <c r="L50" s="67"/>
      <c r="M50" s="67"/>
      <c r="N50" s="67">
        <f t="shared" si="13"/>
        <v>4943.2258460000003</v>
      </c>
      <c r="O50" s="67">
        <v>4943.2258460000003</v>
      </c>
      <c r="P50" s="68">
        <f t="shared" si="12"/>
        <v>0</v>
      </c>
      <c r="Q50" s="67"/>
      <c r="R50" s="67"/>
      <c r="S50" s="67"/>
      <c r="T50" s="67"/>
      <c r="U50" s="67">
        <f t="shared" si="15"/>
        <v>0</v>
      </c>
      <c r="V50" s="67"/>
      <c r="W50" s="67"/>
      <c r="X50" s="67"/>
      <c r="Y50" s="67"/>
      <c r="Z50" s="67"/>
      <c r="AA50" s="67"/>
      <c r="AB50" s="67">
        <f t="shared" si="14"/>
        <v>14.123502417142857</v>
      </c>
      <c r="AC50" s="67"/>
      <c r="AD50" s="67"/>
      <c r="AE50" s="67"/>
    </row>
    <row r="51" spans="1:31" s="16" customFormat="1" ht="34.5" customHeight="1" x14ac:dyDescent="0.25">
      <c r="A51" s="65" t="s">
        <v>326</v>
      </c>
      <c r="B51" s="72" t="s">
        <v>580</v>
      </c>
      <c r="C51" s="67">
        <f t="shared" si="10"/>
        <v>83042.233999999997</v>
      </c>
      <c r="D51" s="67">
        <v>83042.233999999997</v>
      </c>
      <c r="E51" s="67">
        <f t="shared" si="11"/>
        <v>0</v>
      </c>
      <c r="F51" s="67"/>
      <c r="G51" s="67"/>
      <c r="H51" s="67"/>
      <c r="I51" s="67"/>
      <c r="J51" s="67"/>
      <c r="K51" s="67">
        <f t="shared" si="8"/>
        <v>0</v>
      </c>
      <c r="L51" s="67"/>
      <c r="M51" s="67"/>
      <c r="N51" s="67">
        <f t="shared" si="13"/>
        <v>105494.548758</v>
      </c>
      <c r="O51" s="67">
        <v>105494.548758</v>
      </c>
      <c r="P51" s="68">
        <f t="shared" si="12"/>
        <v>0</v>
      </c>
      <c r="Q51" s="67"/>
      <c r="R51" s="67"/>
      <c r="S51" s="67"/>
      <c r="T51" s="67"/>
      <c r="U51" s="67">
        <f t="shared" si="15"/>
        <v>0</v>
      </c>
      <c r="V51" s="67"/>
      <c r="W51" s="67"/>
      <c r="X51" s="67"/>
      <c r="Y51" s="67"/>
      <c r="Z51" s="67"/>
      <c r="AA51" s="67"/>
      <c r="AB51" s="67">
        <f t="shared" si="14"/>
        <v>127.03722392391323</v>
      </c>
      <c r="AC51" s="67"/>
      <c r="AD51" s="67"/>
      <c r="AE51" s="67"/>
    </row>
    <row r="52" spans="1:31" s="16" customFormat="1" ht="24.75" customHeight="1" x14ac:dyDescent="0.25">
      <c r="A52" s="70" t="s">
        <v>328</v>
      </c>
      <c r="B52" s="72" t="s">
        <v>599</v>
      </c>
      <c r="C52" s="67">
        <f t="shared" si="10"/>
        <v>15000</v>
      </c>
      <c r="D52" s="67">
        <v>15000</v>
      </c>
      <c r="E52" s="67">
        <f t="shared" si="11"/>
        <v>0</v>
      </c>
      <c r="F52" s="67"/>
      <c r="G52" s="67"/>
      <c r="H52" s="67"/>
      <c r="I52" s="67"/>
      <c r="J52" s="67"/>
      <c r="K52" s="67">
        <f t="shared" si="8"/>
        <v>0</v>
      </c>
      <c r="L52" s="67"/>
      <c r="M52" s="67"/>
      <c r="N52" s="67">
        <f t="shared" si="13"/>
        <v>8673.1779999999999</v>
      </c>
      <c r="O52" s="67">
        <v>8673.1779999999999</v>
      </c>
      <c r="P52" s="68">
        <f t="shared" si="12"/>
        <v>0</v>
      </c>
      <c r="Q52" s="67"/>
      <c r="R52" s="67"/>
      <c r="S52" s="67"/>
      <c r="T52" s="67"/>
      <c r="U52" s="67">
        <f t="shared" si="15"/>
        <v>0</v>
      </c>
      <c r="V52" s="67"/>
      <c r="W52" s="67"/>
      <c r="X52" s="67"/>
      <c r="Y52" s="67"/>
      <c r="Z52" s="67"/>
      <c r="AA52" s="67"/>
      <c r="AB52" s="67">
        <f t="shared" si="14"/>
        <v>57.821186666666669</v>
      </c>
      <c r="AC52" s="67"/>
      <c r="AD52" s="67"/>
      <c r="AE52" s="67"/>
    </row>
    <row r="53" spans="1:31" s="16" customFormat="1" ht="39.75" customHeight="1" x14ac:dyDescent="0.25">
      <c r="A53" s="65" t="s">
        <v>330</v>
      </c>
      <c r="B53" s="72" t="s">
        <v>581</v>
      </c>
      <c r="C53" s="67">
        <f t="shared" si="10"/>
        <v>1038.0319999999999</v>
      </c>
      <c r="D53" s="67">
        <v>1038.0319999999999</v>
      </c>
      <c r="E53" s="67">
        <f t="shared" si="11"/>
        <v>0</v>
      </c>
      <c r="F53" s="67"/>
      <c r="G53" s="67"/>
      <c r="H53" s="67"/>
      <c r="I53" s="67"/>
      <c r="J53" s="67"/>
      <c r="K53" s="67">
        <f t="shared" si="8"/>
        <v>0</v>
      </c>
      <c r="L53" s="67"/>
      <c r="M53" s="67"/>
      <c r="N53" s="67">
        <f t="shared" si="13"/>
        <v>1071.17</v>
      </c>
      <c r="O53" s="67">
        <v>1071.17</v>
      </c>
      <c r="P53" s="68">
        <f t="shared" si="12"/>
        <v>0</v>
      </c>
      <c r="Q53" s="67"/>
      <c r="R53" s="67"/>
      <c r="S53" s="67"/>
      <c r="T53" s="67"/>
      <c r="U53" s="67">
        <f t="shared" si="15"/>
        <v>0</v>
      </c>
      <c r="V53" s="67"/>
      <c r="W53" s="67"/>
      <c r="X53" s="67"/>
      <c r="Y53" s="67"/>
      <c r="Z53" s="67"/>
      <c r="AA53" s="67"/>
      <c r="AB53" s="67">
        <f t="shared" si="14"/>
        <v>103.19238713257396</v>
      </c>
      <c r="AC53" s="67"/>
      <c r="AD53" s="67"/>
      <c r="AE53" s="67"/>
    </row>
    <row r="54" spans="1:31" s="16" customFormat="1" ht="29.25" customHeight="1" x14ac:dyDescent="0.25">
      <c r="A54" s="70" t="s">
        <v>332</v>
      </c>
      <c r="B54" s="72" t="s">
        <v>663</v>
      </c>
      <c r="C54" s="67">
        <f>D54+E54+I54+J54+K54</f>
        <v>0</v>
      </c>
      <c r="D54" s="67"/>
      <c r="E54" s="67">
        <f>F54+G54+H54</f>
        <v>0</v>
      </c>
      <c r="F54" s="67"/>
      <c r="G54" s="67"/>
      <c r="H54" s="67"/>
      <c r="I54" s="67"/>
      <c r="J54" s="67"/>
      <c r="K54" s="67">
        <f>L54+M54</f>
        <v>0</v>
      </c>
      <c r="L54" s="67"/>
      <c r="M54" s="67"/>
      <c r="N54" s="67">
        <f>O54+P54+S54+T54+U54</f>
        <v>8.7799999999999994</v>
      </c>
      <c r="O54" s="67"/>
      <c r="P54" s="68">
        <f t="shared" si="12"/>
        <v>8.7799999999999994</v>
      </c>
      <c r="Q54" s="67">
        <v>8.7799999999999994</v>
      </c>
      <c r="R54" s="67"/>
      <c r="S54" s="67"/>
      <c r="T54" s="67"/>
      <c r="U54" s="67">
        <f>V54+W54</f>
        <v>0</v>
      </c>
      <c r="V54" s="67"/>
      <c r="W54" s="67"/>
      <c r="X54" s="67"/>
      <c r="Y54" s="67"/>
      <c r="Z54" s="67"/>
      <c r="AA54" s="67"/>
      <c r="AB54" s="67"/>
      <c r="AC54" s="67"/>
      <c r="AD54" s="67"/>
      <c r="AE54" s="67"/>
    </row>
    <row r="55" spans="1:31" s="16" customFormat="1" ht="32.25" customHeight="1" x14ac:dyDescent="0.25">
      <c r="A55" s="65" t="s">
        <v>334</v>
      </c>
      <c r="B55" s="66" t="s">
        <v>526</v>
      </c>
      <c r="C55" s="67">
        <f t="shared" si="10"/>
        <v>703</v>
      </c>
      <c r="D55" s="67"/>
      <c r="E55" s="67">
        <f t="shared" si="11"/>
        <v>703</v>
      </c>
      <c r="F55" s="67">
        <v>703</v>
      </c>
      <c r="G55" s="67"/>
      <c r="H55" s="67"/>
      <c r="I55" s="67"/>
      <c r="J55" s="67"/>
      <c r="K55" s="67">
        <f t="shared" si="8"/>
        <v>0</v>
      </c>
      <c r="L55" s="67"/>
      <c r="M55" s="67"/>
      <c r="N55" s="67">
        <f t="shared" si="13"/>
        <v>703.9</v>
      </c>
      <c r="O55" s="67"/>
      <c r="P55" s="68">
        <f t="shared" si="12"/>
        <v>703.9</v>
      </c>
      <c r="Q55" s="67">
        <v>703.9</v>
      </c>
      <c r="R55" s="67"/>
      <c r="S55" s="67"/>
      <c r="T55" s="67"/>
      <c r="U55" s="67">
        <f t="shared" si="15"/>
        <v>0</v>
      </c>
      <c r="V55" s="67"/>
      <c r="W55" s="67"/>
      <c r="X55" s="67"/>
      <c r="Y55" s="67"/>
      <c r="Z55" s="67"/>
      <c r="AA55" s="67"/>
      <c r="AB55" s="67">
        <f t="shared" si="14"/>
        <v>100.12802275960171</v>
      </c>
      <c r="AC55" s="67"/>
      <c r="AD55" s="67">
        <f t="shared" si="3"/>
        <v>100.12802275960171</v>
      </c>
      <c r="AE55" s="67"/>
    </row>
    <row r="56" spans="1:31" s="16" customFormat="1" ht="24.75" customHeight="1" x14ac:dyDescent="0.25">
      <c r="A56" s="70" t="s">
        <v>336</v>
      </c>
      <c r="B56" s="66" t="s">
        <v>582</v>
      </c>
      <c r="C56" s="67">
        <f t="shared" si="10"/>
        <v>436</v>
      </c>
      <c r="D56" s="67"/>
      <c r="E56" s="67">
        <f t="shared" si="11"/>
        <v>436</v>
      </c>
      <c r="F56" s="67">
        <v>436</v>
      </c>
      <c r="G56" s="67"/>
      <c r="H56" s="67"/>
      <c r="I56" s="67"/>
      <c r="J56" s="67"/>
      <c r="K56" s="67">
        <f t="shared" si="8"/>
        <v>0</v>
      </c>
      <c r="L56" s="67"/>
      <c r="M56" s="67"/>
      <c r="N56" s="67">
        <f t="shared" si="13"/>
        <v>424</v>
      </c>
      <c r="O56" s="67"/>
      <c r="P56" s="68">
        <f t="shared" si="12"/>
        <v>424</v>
      </c>
      <c r="Q56" s="67">
        <v>424</v>
      </c>
      <c r="R56" s="67"/>
      <c r="S56" s="67"/>
      <c r="T56" s="67"/>
      <c r="U56" s="67">
        <f t="shared" si="15"/>
        <v>0</v>
      </c>
      <c r="V56" s="67"/>
      <c r="W56" s="67"/>
      <c r="X56" s="67"/>
      <c r="Y56" s="67"/>
      <c r="Z56" s="67"/>
      <c r="AA56" s="67"/>
      <c r="AB56" s="67">
        <f t="shared" si="14"/>
        <v>97.247706422018339</v>
      </c>
      <c r="AC56" s="67"/>
      <c r="AD56" s="67">
        <f t="shared" si="3"/>
        <v>97.247706422018339</v>
      </c>
      <c r="AE56" s="67"/>
    </row>
    <row r="57" spans="1:31" s="114" customFormat="1" ht="32.25" customHeight="1" x14ac:dyDescent="0.25">
      <c r="A57" s="65" t="s">
        <v>338</v>
      </c>
      <c r="B57" s="72" t="s">
        <v>583</v>
      </c>
      <c r="C57" s="67">
        <f t="shared" si="10"/>
        <v>455</v>
      </c>
      <c r="D57" s="67"/>
      <c r="E57" s="67">
        <f t="shared" si="11"/>
        <v>455</v>
      </c>
      <c r="F57" s="67">
        <v>455</v>
      </c>
      <c r="G57" s="67"/>
      <c r="H57" s="67"/>
      <c r="I57" s="67"/>
      <c r="J57" s="67"/>
      <c r="K57" s="67">
        <f t="shared" si="8"/>
        <v>0</v>
      </c>
      <c r="L57" s="67"/>
      <c r="M57" s="67"/>
      <c r="N57" s="67">
        <f t="shared" si="13"/>
        <v>427</v>
      </c>
      <c r="O57" s="67"/>
      <c r="P57" s="68">
        <f t="shared" si="12"/>
        <v>427</v>
      </c>
      <c r="Q57" s="67">
        <v>427</v>
      </c>
      <c r="R57" s="67"/>
      <c r="S57" s="67"/>
      <c r="T57" s="67"/>
      <c r="U57" s="67">
        <f t="shared" si="15"/>
        <v>0</v>
      </c>
      <c r="V57" s="67"/>
      <c r="W57" s="67"/>
      <c r="X57" s="67"/>
      <c r="Y57" s="67"/>
      <c r="Z57" s="67"/>
      <c r="AA57" s="67"/>
      <c r="AB57" s="67">
        <f t="shared" si="14"/>
        <v>93.846153846153854</v>
      </c>
      <c r="AC57" s="67"/>
      <c r="AD57" s="67">
        <f t="shared" si="3"/>
        <v>93.846153846153854</v>
      </c>
      <c r="AE57" s="67"/>
    </row>
    <row r="58" spans="1:31" s="16" customFormat="1" ht="19.5" customHeight="1" x14ac:dyDescent="0.25">
      <c r="A58" s="70" t="s">
        <v>389</v>
      </c>
      <c r="B58" s="72" t="s">
        <v>321</v>
      </c>
      <c r="C58" s="67">
        <f t="shared" si="10"/>
        <v>456</v>
      </c>
      <c r="D58" s="67"/>
      <c r="E58" s="67">
        <f t="shared" si="11"/>
        <v>456</v>
      </c>
      <c r="F58" s="67">
        <v>456</v>
      </c>
      <c r="G58" s="67"/>
      <c r="H58" s="67"/>
      <c r="I58" s="67"/>
      <c r="J58" s="67"/>
      <c r="K58" s="67">
        <f t="shared" si="8"/>
        <v>0</v>
      </c>
      <c r="L58" s="67"/>
      <c r="M58" s="67"/>
      <c r="N58" s="67">
        <f t="shared" si="13"/>
        <v>469.3</v>
      </c>
      <c r="O58" s="67"/>
      <c r="P58" s="68">
        <f t="shared" si="12"/>
        <v>469.3</v>
      </c>
      <c r="Q58" s="67">
        <v>469.3</v>
      </c>
      <c r="R58" s="67"/>
      <c r="S58" s="67"/>
      <c r="T58" s="67"/>
      <c r="U58" s="67">
        <f t="shared" si="15"/>
        <v>0</v>
      </c>
      <c r="V58" s="67"/>
      <c r="W58" s="67"/>
      <c r="X58" s="67"/>
      <c r="Y58" s="67"/>
      <c r="Z58" s="67"/>
      <c r="AA58" s="67"/>
      <c r="AB58" s="67">
        <f t="shared" si="14"/>
        <v>102.91666666666667</v>
      </c>
      <c r="AC58" s="67"/>
      <c r="AD58" s="67">
        <f t="shared" si="3"/>
        <v>102.91666666666667</v>
      </c>
      <c r="AE58" s="67"/>
    </row>
    <row r="59" spans="1:31" s="16" customFormat="1" ht="24.75" customHeight="1" x14ac:dyDescent="0.25">
      <c r="A59" s="65" t="s">
        <v>390</v>
      </c>
      <c r="B59" s="72" t="s">
        <v>323</v>
      </c>
      <c r="C59" s="67">
        <f t="shared" si="10"/>
        <v>90</v>
      </c>
      <c r="D59" s="67"/>
      <c r="E59" s="67">
        <f t="shared" si="11"/>
        <v>90</v>
      </c>
      <c r="F59" s="67">
        <v>90</v>
      </c>
      <c r="G59" s="67"/>
      <c r="H59" s="67"/>
      <c r="I59" s="67"/>
      <c r="J59" s="67"/>
      <c r="K59" s="67">
        <f t="shared" si="8"/>
        <v>0</v>
      </c>
      <c r="L59" s="67"/>
      <c r="M59" s="67"/>
      <c r="N59" s="67">
        <f t="shared" si="13"/>
        <v>197.5</v>
      </c>
      <c r="O59" s="67"/>
      <c r="P59" s="68">
        <f t="shared" si="12"/>
        <v>197.5</v>
      </c>
      <c r="Q59" s="67">
        <v>197.5</v>
      </c>
      <c r="R59" s="67"/>
      <c r="S59" s="67"/>
      <c r="T59" s="67"/>
      <c r="U59" s="67">
        <f t="shared" si="15"/>
        <v>0</v>
      </c>
      <c r="V59" s="67"/>
      <c r="W59" s="67"/>
      <c r="X59" s="67"/>
      <c r="Y59" s="67"/>
      <c r="Z59" s="67"/>
      <c r="AA59" s="67"/>
      <c r="AB59" s="67">
        <f t="shared" si="14"/>
        <v>219.44444444444443</v>
      </c>
      <c r="AC59" s="67"/>
      <c r="AD59" s="67">
        <f t="shared" si="3"/>
        <v>219.44444444444443</v>
      </c>
      <c r="AE59" s="67"/>
    </row>
    <row r="60" spans="1:31" s="16" customFormat="1" ht="24.75" customHeight="1" x14ac:dyDescent="0.25">
      <c r="A60" s="70" t="s">
        <v>549</v>
      </c>
      <c r="B60" s="75" t="s">
        <v>325</v>
      </c>
      <c r="C60" s="67">
        <f t="shared" si="10"/>
        <v>1242</v>
      </c>
      <c r="D60" s="67"/>
      <c r="E60" s="67">
        <f t="shared" si="11"/>
        <v>1242</v>
      </c>
      <c r="F60" s="67">
        <v>1082</v>
      </c>
      <c r="G60" s="67"/>
      <c r="H60" s="67">
        <v>160</v>
      </c>
      <c r="I60" s="67"/>
      <c r="J60" s="67"/>
      <c r="K60" s="67">
        <f t="shared" si="8"/>
        <v>0</v>
      </c>
      <c r="L60" s="67"/>
      <c r="M60" s="67"/>
      <c r="N60" s="67">
        <f t="shared" si="13"/>
        <v>1196</v>
      </c>
      <c r="O60" s="67"/>
      <c r="P60" s="68">
        <f t="shared" si="12"/>
        <v>1196</v>
      </c>
      <c r="Q60" s="67">
        <v>1196</v>
      </c>
      <c r="R60" s="67"/>
      <c r="S60" s="67"/>
      <c r="T60" s="67"/>
      <c r="U60" s="67">
        <f t="shared" si="15"/>
        <v>0</v>
      </c>
      <c r="V60" s="67"/>
      <c r="W60" s="67"/>
      <c r="X60" s="67"/>
      <c r="Y60" s="67"/>
      <c r="Z60" s="67"/>
      <c r="AA60" s="67"/>
      <c r="AB60" s="67">
        <f t="shared" si="14"/>
        <v>96.296296296296291</v>
      </c>
      <c r="AC60" s="67"/>
      <c r="AD60" s="67">
        <f t="shared" si="3"/>
        <v>96.296296296296291</v>
      </c>
      <c r="AE60" s="67"/>
    </row>
    <row r="61" spans="1:31" s="16" customFormat="1" ht="24.75" customHeight="1" x14ac:dyDescent="0.25">
      <c r="A61" s="65" t="s">
        <v>391</v>
      </c>
      <c r="B61" s="75" t="s">
        <v>584</v>
      </c>
      <c r="C61" s="67">
        <f t="shared" si="10"/>
        <v>2108</v>
      </c>
      <c r="D61" s="67"/>
      <c r="E61" s="67">
        <f t="shared" si="11"/>
        <v>2108</v>
      </c>
      <c r="F61" s="67">
        <v>2108</v>
      </c>
      <c r="G61" s="67"/>
      <c r="H61" s="67"/>
      <c r="I61" s="67"/>
      <c r="J61" s="67"/>
      <c r="K61" s="67">
        <f t="shared" si="8"/>
        <v>0</v>
      </c>
      <c r="L61" s="67"/>
      <c r="M61" s="67"/>
      <c r="N61" s="67">
        <f t="shared" si="13"/>
        <v>2157</v>
      </c>
      <c r="O61" s="67"/>
      <c r="P61" s="68">
        <f t="shared" si="12"/>
        <v>2157</v>
      </c>
      <c r="Q61" s="67">
        <v>2157</v>
      </c>
      <c r="R61" s="67"/>
      <c r="S61" s="67"/>
      <c r="T61" s="67"/>
      <c r="U61" s="67">
        <f t="shared" si="15"/>
        <v>0</v>
      </c>
      <c r="V61" s="67"/>
      <c r="W61" s="67"/>
      <c r="X61" s="67"/>
      <c r="Y61" s="67"/>
      <c r="Z61" s="67"/>
      <c r="AA61" s="67"/>
      <c r="AB61" s="67">
        <f t="shared" si="14"/>
        <v>102.32447817836812</v>
      </c>
      <c r="AC61" s="67"/>
      <c r="AD61" s="67">
        <f t="shared" si="3"/>
        <v>102.32447817836812</v>
      </c>
      <c r="AE61" s="67"/>
    </row>
    <row r="62" spans="1:31" s="16" customFormat="1" ht="24.75" customHeight="1" x14ac:dyDescent="0.25">
      <c r="A62" s="70" t="s">
        <v>392</v>
      </c>
      <c r="B62" s="75" t="s">
        <v>329</v>
      </c>
      <c r="C62" s="67">
        <f t="shared" si="10"/>
        <v>351</v>
      </c>
      <c r="D62" s="67"/>
      <c r="E62" s="67">
        <f t="shared" si="11"/>
        <v>351</v>
      </c>
      <c r="F62" s="67">
        <v>351</v>
      </c>
      <c r="G62" s="67"/>
      <c r="H62" s="67"/>
      <c r="I62" s="67"/>
      <c r="J62" s="67"/>
      <c r="K62" s="67">
        <f t="shared" si="8"/>
        <v>0</v>
      </c>
      <c r="L62" s="67"/>
      <c r="M62" s="67"/>
      <c r="N62" s="67">
        <f t="shared" si="13"/>
        <v>337</v>
      </c>
      <c r="O62" s="67"/>
      <c r="P62" s="68">
        <f t="shared" si="12"/>
        <v>337</v>
      </c>
      <c r="Q62" s="67">
        <v>337</v>
      </c>
      <c r="R62" s="67"/>
      <c r="S62" s="67"/>
      <c r="T62" s="67"/>
      <c r="U62" s="67">
        <f t="shared" si="15"/>
        <v>0</v>
      </c>
      <c r="V62" s="67"/>
      <c r="W62" s="67"/>
      <c r="X62" s="67"/>
      <c r="Y62" s="67"/>
      <c r="Z62" s="67"/>
      <c r="AA62" s="67"/>
      <c r="AB62" s="67">
        <f t="shared" si="14"/>
        <v>96.011396011396016</v>
      </c>
      <c r="AC62" s="67"/>
      <c r="AD62" s="67">
        <f t="shared" si="3"/>
        <v>96.011396011396016</v>
      </c>
      <c r="AE62" s="67"/>
    </row>
    <row r="63" spans="1:31" s="16" customFormat="1" ht="20.25" customHeight="1" x14ac:dyDescent="0.25">
      <c r="A63" s="65" t="s">
        <v>393</v>
      </c>
      <c r="B63" s="75" t="s">
        <v>331</v>
      </c>
      <c r="C63" s="67">
        <f t="shared" si="10"/>
        <v>1527</v>
      </c>
      <c r="D63" s="67"/>
      <c r="E63" s="67">
        <f t="shared" si="11"/>
        <v>1527</v>
      </c>
      <c r="F63" s="67">
        <v>1094</v>
      </c>
      <c r="G63" s="67"/>
      <c r="H63" s="67">
        <v>433</v>
      </c>
      <c r="I63" s="67"/>
      <c r="J63" s="67"/>
      <c r="K63" s="67">
        <f t="shared" si="8"/>
        <v>0</v>
      </c>
      <c r="L63" s="67"/>
      <c r="M63" s="67"/>
      <c r="N63" s="67">
        <f t="shared" si="13"/>
        <v>1817.2511360000001</v>
      </c>
      <c r="O63" s="67"/>
      <c r="P63" s="68">
        <f t="shared" si="12"/>
        <v>1817.2511360000001</v>
      </c>
      <c r="Q63" s="67">
        <v>1817.2511360000001</v>
      </c>
      <c r="R63" s="67"/>
      <c r="S63" s="67"/>
      <c r="T63" s="67"/>
      <c r="U63" s="67">
        <f t="shared" si="15"/>
        <v>0</v>
      </c>
      <c r="V63" s="67"/>
      <c r="W63" s="67"/>
      <c r="X63" s="67"/>
      <c r="Y63" s="67"/>
      <c r="Z63" s="67"/>
      <c r="AA63" s="67"/>
      <c r="AB63" s="67">
        <f t="shared" si="14"/>
        <v>119.00793294040604</v>
      </c>
      <c r="AC63" s="67"/>
      <c r="AD63" s="67">
        <f t="shared" si="3"/>
        <v>119.00793294040604</v>
      </c>
      <c r="AE63" s="67"/>
    </row>
    <row r="64" spans="1:31" s="16" customFormat="1" ht="32.25" customHeight="1" x14ac:dyDescent="0.25">
      <c r="A64" s="70" t="s">
        <v>394</v>
      </c>
      <c r="B64" s="76" t="s">
        <v>664</v>
      </c>
      <c r="C64" s="67">
        <f t="shared" si="10"/>
        <v>296</v>
      </c>
      <c r="D64" s="67"/>
      <c r="E64" s="67">
        <f t="shared" si="11"/>
        <v>296</v>
      </c>
      <c r="F64" s="67">
        <f>212+84</f>
        <v>296</v>
      </c>
      <c r="G64" s="67"/>
      <c r="H64" s="67"/>
      <c r="I64" s="67"/>
      <c r="J64" s="67"/>
      <c r="K64" s="67">
        <f t="shared" si="8"/>
        <v>0</v>
      </c>
      <c r="L64" s="67"/>
      <c r="M64" s="67"/>
      <c r="N64" s="67">
        <f t="shared" si="13"/>
        <v>102.21855600000001</v>
      </c>
      <c r="O64" s="67"/>
      <c r="P64" s="68">
        <f t="shared" si="12"/>
        <v>102.21855600000001</v>
      </c>
      <c r="Q64" s="67">
        <v>102.21855600000001</v>
      </c>
      <c r="R64" s="67"/>
      <c r="S64" s="67"/>
      <c r="T64" s="67"/>
      <c r="U64" s="67">
        <f t="shared" si="15"/>
        <v>0</v>
      </c>
      <c r="V64" s="67"/>
      <c r="W64" s="67"/>
      <c r="X64" s="67"/>
      <c r="Y64" s="67"/>
      <c r="Z64" s="67"/>
      <c r="AA64" s="67"/>
      <c r="AB64" s="67">
        <f t="shared" si="14"/>
        <v>34.533295945945952</v>
      </c>
      <c r="AC64" s="67"/>
      <c r="AD64" s="67">
        <f t="shared" si="3"/>
        <v>34.533295945945952</v>
      </c>
      <c r="AE64" s="67"/>
    </row>
    <row r="65" spans="1:31" s="16" customFormat="1" ht="17.25" customHeight="1" x14ac:dyDescent="0.25">
      <c r="A65" s="65" t="s">
        <v>395</v>
      </c>
      <c r="B65" s="75" t="s">
        <v>665</v>
      </c>
      <c r="C65" s="67">
        <f t="shared" si="10"/>
        <v>0</v>
      </c>
      <c r="D65" s="67"/>
      <c r="E65" s="67">
        <f t="shared" si="11"/>
        <v>0</v>
      </c>
      <c r="F65" s="67"/>
      <c r="G65" s="67"/>
      <c r="H65" s="67"/>
      <c r="I65" s="67"/>
      <c r="J65" s="67"/>
      <c r="K65" s="67">
        <f t="shared" si="8"/>
        <v>0</v>
      </c>
      <c r="L65" s="67"/>
      <c r="M65" s="67"/>
      <c r="N65" s="67">
        <f t="shared" si="13"/>
        <v>13</v>
      </c>
      <c r="O65" s="67"/>
      <c r="P65" s="68">
        <f t="shared" si="12"/>
        <v>13</v>
      </c>
      <c r="Q65" s="67">
        <v>13</v>
      </c>
      <c r="R65" s="67"/>
      <c r="S65" s="67"/>
      <c r="T65" s="67"/>
      <c r="U65" s="67">
        <f t="shared" si="15"/>
        <v>0</v>
      </c>
      <c r="V65" s="67"/>
      <c r="W65" s="67"/>
      <c r="X65" s="67"/>
      <c r="Y65" s="67"/>
      <c r="Z65" s="67"/>
      <c r="AA65" s="67"/>
      <c r="AB65" s="67"/>
      <c r="AC65" s="67"/>
      <c r="AD65" s="67"/>
      <c r="AE65" s="67"/>
    </row>
    <row r="66" spans="1:31" s="16" customFormat="1" ht="24.75" customHeight="1" x14ac:dyDescent="0.25">
      <c r="A66" s="70" t="s">
        <v>396</v>
      </c>
      <c r="B66" s="76" t="s">
        <v>335</v>
      </c>
      <c r="C66" s="67">
        <f t="shared" si="10"/>
        <v>96</v>
      </c>
      <c r="D66" s="67"/>
      <c r="E66" s="67">
        <f t="shared" si="11"/>
        <v>96</v>
      </c>
      <c r="F66" s="67">
        <v>96</v>
      </c>
      <c r="G66" s="67"/>
      <c r="H66" s="67"/>
      <c r="I66" s="67"/>
      <c r="J66" s="67"/>
      <c r="K66" s="67">
        <f t="shared" si="8"/>
        <v>0</v>
      </c>
      <c r="L66" s="67"/>
      <c r="M66" s="67"/>
      <c r="N66" s="67">
        <f t="shared" si="13"/>
        <v>54.065199</v>
      </c>
      <c r="O66" s="67"/>
      <c r="P66" s="68">
        <f t="shared" si="12"/>
        <v>54.065199</v>
      </c>
      <c r="Q66" s="67">
        <v>54.065199</v>
      </c>
      <c r="R66" s="67"/>
      <c r="S66" s="67"/>
      <c r="T66" s="67"/>
      <c r="U66" s="67">
        <f t="shared" si="15"/>
        <v>0</v>
      </c>
      <c r="V66" s="67"/>
      <c r="W66" s="67"/>
      <c r="X66" s="67"/>
      <c r="Y66" s="67"/>
      <c r="Z66" s="67"/>
      <c r="AA66" s="67"/>
      <c r="AB66" s="67">
        <f t="shared" si="14"/>
        <v>56.317915625000005</v>
      </c>
      <c r="AC66" s="67"/>
      <c r="AD66" s="67"/>
      <c r="AE66" s="67"/>
    </row>
    <row r="67" spans="1:31" s="16" customFormat="1" ht="18" customHeight="1" x14ac:dyDescent="0.25">
      <c r="A67" s="65" t="s">
        <v>397</v>
      </c>
      <c r="B67" s="77" t="s">
        <v>337</v>
      </c>
      <c r="C67" s="67">
        <f t="shared" si="10"/>
        <v>210</v>
      </c>
      <c r="D67" s="67"/>
      <c r="E67" s="67">
        <f t="shared" si="11"/>
        <v>210</v>
      </c>
      <c r="F67" s="67">
        <v>210</v>
      </c>
      <c r="G67" s="67"/>
      <c r="H67" s="67"/>
      <c r="I67" s="67"/>
      <c r="J67" s="67"/>
      <c r="K67" s="67">
        <f t="shared" si="8"/>
        <v>0</v>
      </c>
      <c r="L67" s="67"/>
      <c r="M67" s="67"/>
      <c r="N67" s="67">
        <f t="shared" si="13"/>
        <v>207</v>
      </c>
      <c r="O67" s="67"/>
      <c r="P67" s="68">
        <f t="shared" si="12"/>
        <v>207</v>
      </c>
      <c r="Q67" s="67">
        <v>207</v>
      </c>
      <c r="R67" s="67"/>
      <c r="S67" s="67"/>
      <c r="T67" s="67"/>
      <c r="U67" s="67">
        <f t="shared" si="15"/>
        <v>0</v>
      </c>
      <c r="V67" s="67"/>
      <c r="W67" s="67"/>
      <c r="X67" s="67"/>
      <c r="Y67" s="67"/>
      <c r="Z67" s="67"/>
      <c r="AA67" s="67"/>
      <c r="AB67" s="67">
        <f t="shared" si="14"/>
        <v>98.571428571428569</v>
      </c>
      <c r="AC67" s="67"/>
      <c r="AD67" s="67">
        <f t="shared" si="3"/>
        <v>98.571428571428569</v>
      </c>
      <c r="AE67" s="67"/>
    </row>
    <row r="68" spans="1:31" s="16" customFormat="1" ht="16.5" customHeight="1" x14ac:dyDescent="0.25">
      <c r="A68" s="70" t="s">
        <v>398</v>
      </c>
      <c r="B68" s="78" t="s">
        <v>339</v>
      </c>
      <c r="C68" s="67">
        <f t="shared" si="10"/>
        <v>2398</v>
      </c>
      <c r="D68" s="67"/>
      <c r="E68" s="67">
        <f t="shared" si="11"/>
        <v>2398</v>
      </c>
      <c r="F68" s="67">
        <v>2378</v>
      </c>
      <c r="G68" s="67"/>
      <c r="H68" s="67">
        <v>20</v>
      </c>
      <c r="I68" s="67"/>
      <c r="J68" s="67"/>
      <c r="K68" s="67">
        <f t="shared" si="8"/>
        <v>0</v>
      </c>
      <c r="L68" s="67"/>
      <c r="M68" s="67"/>
      <c r="N68" s="67">
        <f t="shared" si="13"/>
        <v>3028</v>
      </c>
      <c r="O68" s="67"/>
      <c r="P68" s="68">
        <f t="shared" si="12"/>
        <v>3028</v>
      </c>
      <c r="Q68" s="67">
        <v>3028</v>
      </c>
      <c r="R68" s="67"/>
      <c r="S68" s="67"/>
      <c r="T68" s="67"/>
      <c r="U68" s="67">
        <f t="shared" si="15"/>
        <v>0</v>
      </c>
      <c r="V68" s="67"/>
      <c r="W68" s="67"/>
      <c r="X68" s="67"/>
      <c r="Y68" s="67"/>
      <c r="Z68" s="67"/>
      <c r="AA68" s="67"/>
      <c r="AB68" s="67">
        <f t="shared" si="14"/>
        <v>126.2718932443703</v>
      </c>
      <c r="AC68" s="67"/>
      <c r="AD68" s="67">
        <f t="shared" si="3"/>
        <v>126.2718932443703</v>
      </c>
      <c r="AE68" s="67"/>
    </row>
    <row r="69" spans="1:31" s="16" customFormat="1" ht="21.75" customHeight="1" x14ac:dyDescent="0.25">
      <c r="A69" s="65" t="s">
        <v>399</v>
      </c>
      <c r="B69" s="77" t="s">
        <v>585</v>
      </c>
      <c r="C69" s="67">
        <f t="shared" si="10"/>
        <v>3194</v>
      </c>
      <c r="D69" s="67"/>
      <c r="E69" s="67">
        <f t="shared" si="11"/>
        <v>1869</v>
      </c>
      <c r="F69" s="67">
        <v>1869</v>
      </c>
      <c r="G69" s="67"/>
      <c r="H69" s="67"/>
      <c r="I69" s="67"/>
      <c r="J69" s="67"/>
      <c r="K69" s="67">
        <f t="shared" si="8"/>
        <v>1325</v>
      </c>
      <c r="L69" s="67">
        <v>779</v>
      </c>
      <c r="M69" s="67">
        <v>546</v>
      </c>
      <c r="N69" s="67">
        <f t="shared" si="13"/>
        <v>2210.6475310000001</v>
      </c>
      <c r="O69" s="67"/>
      <c r="P69" s="68">
        <f t="shared" si="12"/>
        <v>1703.3451889999999</v>
      </c>
      <c r="Q69" s="67">
        <v>1703.3451889999999</v>
      </c>
      <c r="R69" s="67"/>
      <c r="S69" s="67"/>
      <c r="T69" s="67"/>
      <c r="U69" s="67">
        <f t="shared" si="15"/>
        <v>507.30234200000001</v>
      </c>
      <c r="V69" s="67"/>
      <c r="W69" s="67">
        <v>507.30234200000001</v>
      </c>
      <c r="X69" s="67"/>
      <c r="Y69" s="67"/>
      <c r="Z69" s="67"/>
      <c r="AA69" s="67"/>
      <c r="AB69" s="67">
        <f t="shared" si="14"/>
        <v>69.21250879774577</v>
      </c>
      <c r="AC69" s="67"/>
      <c r="AD69" s="67"/>
      <c r="AE69" s="67">
        <f t="shared" si="5"/>
        <v>38.286969207547173</v>
      </c>
    </row>
    <row r="70" spans="1:31" s="16" customFormat="1" ht="24" customHeight="1" x14ac:dyDescent="0.25">
      <c r="A70" s="70" t="s">
        <v>400</v>
      </c>
      <c r="B70" s="75" t="s">
        <v>586</v>
      </c>
      <c r="C70" s="67">
        <f t="shared" si="10"/>
        <v>65</v>
      </c>
      <c r="D70" s="67"/>
      <c r="E70" s="67">
        <f t="shared" si="11"/>
        <v>65</v>
      </c>
      <c r="F70" s="67">
        <v>65</v>
      </c>
      <c r="G70" s="67"/>
      <c r="H70" s="67"/>
      <c r="I70" s="67"/>
      <c r="J70" s="67"/>
      <c r="K70" s="67">
        <f t="shared" si="8"/>
        <v>0</v>
      </c>
      <c r="L70" s="67"/>
      <c r="M70" s="67"/>
      <c r="N70" s="67">
        <f t="shared" si="13"/>
        <v>58</v>
      </c>
      <c r="O70" s="67"/>
      <c r="P70" s="68">
        <f t="shared" si="12"/>
        <v>58</v>
      </c>
      <c r="Q70" s="67">
        <v>58</v>
      </c>
      <c r="R70" s="67"/>
      <c r="S70" s="67"/>
      <c r="T70" s="67"/>
      <c r="U70" s="67">
        <f t="shared" si="15"/>
        <v>0</v>
      </c>
      <c r="V70" s="67"/>
      <c r="W70" s="67"/>
      <c r="X70" s="67"/>
      <c r="Y70" s="67"/>
      <c r="Z70" s="67"/>
      <c r="AA70" s="67"/>
      <c r="AB70" s="67">
        <f t="shared" si="14"/>
        <v>89.230769230769226</v>
      </c>
      <c r="AC70" s="67"/>
      <c r="AD70" s="67">
        <f t="shared" si="3"/>
        <v>89.230769230769226</v>
      </c>
      <c r="AE70" s="67"/>
    </row>
    <row r="71" spans="1:31" s="16" customFormat="1" ht="24.75" customHeight="1" x14ac:dyDescent="0.25">
      <c r="A71" s="65" t="s">
        <v>401</v>
      </c>
      <c r="B71" s="76" t="s">
        <v>666</v>
      </c>
      <c r="C71" s="67">
        <f>D71+E71+I71+J71+K71</f>
        <v>65419</v>
      </c>
      <c r="D71" s="67"/>
      <c r="E71" s="67">
        <f>F71+G71+H71</f>
        <v>0</v>
      </c>
      <c r="F71" s="67"/>
      <c r="G71" s="67"/>
      <c r="H71" s="67"/>
      <c r="I71" s="67"/>
      <c r="J71" s="67"/>
      <c r="K71" s="67">
        <f>L71+M71</f>
        <v>65419</v>
      </c>
      <c r="L71" s="67"/>
      <c r="M71" s="67">
        <v>65419</v>
      </c>
      <c r="N71" s="67">
        <f>O71+P71+S71+T71+U71</f>
        <v>0</v>
      </c>
      <c r="O71" s="67"/>
      <c r="P71" s="68">
        <f t="shared" si="12"/>
        <v>0</v>
      </c>
      <c r="Q71" s="67"/>
      <c r="R71" s="67"/>
      <c r="S71" s="67"/>
      <c r="T71" s="67"/>
      <c r="U71" s="67">
        <f>V71+W71</f>
        <v>0</v>
      </c>
      <c r="V71" s="67"/>
      <c r="W71" s="67"/>
      <c r="X71" s="67"/>
      <c r="Y71" s="67"/>
      <c r="Z71" s="67"/>
      <c r="AA71" s="67"/>
      <c r="AB71" s="67">
        <f>N71/C71%</f>
        <v>0</v>
      </c>
      <c r="AC71" s="67"/>
      <c r="AD71" s="67"/>
      <c r="AE71" s="67">
        <f t="shared" si="5"/>
        <v>0</v>
      </c>
    </row>
    <row r="72" spans="1:31" s="16" customFormat="1" ht="23.25" customHeight="1" x14ac:dyDescent="0.25">
      <c r="A72" s="70" t="s">
        <v>402</v>
      </c>
      <c r="B72" s="75" t="s">
        <v>667</v>
      </c>
      <c r="C72" s="67">
        <f t="shared" si="10"/>
        <v>34</v>
      </c>
      <c r="D72" s="67"/>
      <c r="E72" s="67">
        <f t="shared" si="11"/>
        <v>34</v>
      </c>
      <c r="F72" s="67">
        <v>34</v>
      </c>
      <c r="G72" s="67"/>
      <c r="H72" s="67"/>
      <c r="I72" s="67"/>
      <c r="J72" s="67"/>
      <c r="K72" s="67">
        <f t="shared" si="8"/>
        <v>0</v>
      </c>
      <c r="L72" s="67"/>
      <c r="M72" s="67"/>
      <c r="N72" s="67">
        <f t="shared" si="13"/>
        <v>0</v>
      </c>
      <c r="O72" s="67"/>
      <c r="P72" s="68">
        <f t="shared" si="12"/>
        <v>0</v>
      </c>
      <c r="Q72" s="67">
        <v>0</v>
      </c>
      <c r="R72" s="67"/>
      <c r="S72" s="67"/>
      <c r="T72" s="67"/>
      <c r="U72" s="67">
        <f t="shared" si="15"/>
        <v>0</v>
      </c>
      <c r="V72" s="67"/>
      <c r="W72" s="67"/>
      <c r="X72" s="67"/>
      <c r="Y72" s="67"/>
      <c r="Z72" s="67"/>
      <c r="AA72" s="67"/>
      <c r="AB72" s="67">
        <f t="shared" si="14"/>
        <v>0</v>
      </c>
      <c r="AC72" s="67"/>
      <c r="AD72" s="67"/>
      <c r="AE72" s="67"/>
    </row>
    <row r="73" spans="1:31" s="16" customFormat="1" ht="34.5" customHeight="1" x14ac:dyDescent="0.25">
      <c r="A73" s="65" t="s">
        <v>403</v>
      </c>
      <c r="B73" s="75" t="s">
        <v>623</v>
      </c>
      <c r="C73" s="67">
        <f t="shared" si="10"/>
        <v>29</v>
      </c>
      <c r="D73" s="67"/>
      <c r="E73" s="67">
        <f t="shared" si="11"/>
        <v>0</v>
      </c>
      <c r="F73" s="67"/>
      <c r="G73" s="67"/>
      <c r="H73" s="67"/>
      <c r="I73" s="67"/>
      <c r="J73" s="67"/>
      <c r="K73" s="67">
        <f t="shared" si="8"/>
        <v>29</v>
      </c>
      <c r="L73" s="67">
        <v>0</v>
      </c>
      <c r="M73" s="67">
        <v>29</v>
      </c>
      <c r="N73" s="67">
        <f t="shared" si="13"/>
        <v>0</v>
      </c>
      <c r="O73" s="67"/>
      <c r="P73" s="68">
        <f t="shared" si="12"/>
        <v>0</v>
      </c>
      <c r="Q73" s="67"/>
      <c r="R73" s="67"/>
      <c r="S73" s="67"/>
      <c r="T73" s="67"/>
      <c r="U73" s="67">
        <f t="shared" si="15"/>
        <v>0</v>
      </c>
      <c r="V73" s="67"/>
      <c r="W73" s="67"/>
      <c r="X73" s="67"/>
      <c r="Y73" s="67"/>
      <c r="Z73" s="67"/>
      <c r="AA73" s="67"/>
      <c r="AB73" s="67">
        <f t="shared" si="14"/>
        <v>0</v>
      </c>
      <c r="AC73" s="67"/>
      <c r="AD73" s="67"/>
      <c r="AE73" s="67">
        <f t="shared" si="5"/>
        <v>0</v>
      </c>
    </row>
    <row r="74" spans="1:31" s="16" customFormat="1" ht="18.75" customHeight="1" x14ac:dyDescent="0.25">
      <c r="A74" s="70" t="s">
        <v>404</v>
      </c>
      <c r="B74" s="75" t="s">
        <v>343</v>
      </c>
      <c r="C74" s="67">
        <f t="shared" si="10"/>
        <v>200</v>
      </c>
      <c r="D74" s="67"/>
      <c r="E74" s="67">
        <f t="shared" si="11"/>
        <v>200</v>
      </c>
      <c r="F74" s="67">
        <v>200</v>
      </c>
      <c r="G74" s="67"/>
      <c r="H74" s="67"/>
      <c r="I74" s="67"/>
      <c r="J74" s="67"/>
      <c r="K74" s="67">
        <f t="shared" si="8"/>
        <v>0</v>
      </c>
      <c r="L74" s="67"/>
      <c r="M74" s="67"/>
      <c r="N74" s="67">
        <f t="shared" si="13"/>
        <v>180</v>
      </c>
      <c r="O74" s="67"/>
      <c r="P74" s="68">
        <f t="shared" si="12"/>
        <v>180</v>
      </c>
      <c r="Q74" s="67"/>
      <c r="R74" s="67">
        <v>180</v>
      </c>
      <c r="S74" s="67"/>
      <c r="T74" s="67"/>
      <c r="U74" s="67">
        <f t="shared" si="15"/>
        <v>0</v>
      </c>
      <c r="V74" s="67"/>
      <c r="W74" s="67"/>
      <c r="X74" s="67"/>
      <c r="Y74" s="67"/>
      <c r="Z74" s="67"/>
      <c r="AA74" s="67"/>
      <c r="AB74" s="67">
        <f t="shared" si="14"/>
        <v>90</v>
      </c>
      <c r="AC74" s="67"/>
      <c r="AD74" s="67">
        <f t="shared" ref="AD74:AD107" si="16">P74/E74%</f>
        <v>90</v>
      </c>
      <c r="AE74" s="67"/>
    </row>
    <row r="75" spans="1:31" s="16" customFormat="1" ht="16.5" customHeight="1" x14ac:dyDescent="0.25">
      <c r="A75" s="65" t="s">
        <v>405</v>
      </c>
      <c r="B75" s="75" t="s">
        <v>587</v>
      </c>
      <c r="C75" s="67">
        <f t="shared" si="10"/>
        <v>450</v>
      </c>
      <c r="D75" s="67"/>
      <c r="E75" s="67">
        <f>F75+G75+H75</f>
        <v>450</v>
      </c>
      <c r="F75" s="67">
        <v>450</v>
      </c>
      <c r="G75" s="67"/>
      <c r="H75" s="67"/>
      <c r="I75" s="67"/>
      <c r="J75" s="67"/>
      <c r="K75" s="67">
        <f t="shared" si="8"/>
        <v>0</v>
      </c>
      <c r="L75" s="67"/>
      <c r="M75" s="67"/>
      <c r="N75" s="67">
        <f t="shared" si="13"/>
        <v>405</v>
      </c>
      <c r="O75" s="67"/>
      <c r="P75" s="68">
        <f t="shared" si="12"/>
        <v>405</v>
      </c>
      <c r="Q75" s="67"/>
      <c r="R75" s="67">
        <v>405</v>
      </c>
      <c r="S75" s="67"/>
      <c r="T75" s="67"/>
      <c r="U75" s="67">
        <f t="shared" si="15"/>
        <v>0</v>
      </c>
      <c r="V75" s="67"/>
      <c r="W75" s="67"/>
      <c r="X75" s="67"/>
      <c r="Y75" s="67"/>
      <c r="Z75" s="67"/>
      <c r="AA75" s="67"/>
      <c r="AB75" s="67"/>
      <c r="AC75" s="67"/>
      <c r="AD75" s="67"/>
      <c r="AE75" s="67"/>
    </row>
    <row r="76" spans="1:31" s="16" customFormat="1" ht="20.25" customHeight="1" x14ac:dyDescent="0.25">
      <c r="A76" s="70" t="s">
        <v>406</v>
      </c>
      <c r="B76" s="77" t="s">
        <v>588</v>
      </c>
      <c r="C76" s="67">
        <f t="shared" si="10"/>
        <v>309</v>
      </c>
      <c r="D76" s="67"/>
      <c r="E76" s="67">
        <f t="shared" ref="E76:E91" si="17">F76+G76+H76</f>
        <v>309</v>
      </c>
      <c r="F76" s="67">
        <v>309</v>
      </c>
      <c r="G76" s="67"/>
      <c r="H76" s="67"/>
      <c r="I76" s="67"/>
      <c r="J76" s="67"/>
      <c r="K76" s="67">
        <f t="shared" ref="K76:K116" si="18">L76+M76</f>
        <v>0</v>
      </c>
      <c r="L76" s="67"/>
      <c r="M76" s="67"/>
      <c r="N76" s="67">
        <f t="shared" si="13"/>
        <v>195.123178</v>
      </c>
      <c r="O76" s="67"/>
      <c r="P76" s="68">
        <f t="shared" si="12"/>
        <v>195.123178</v>
      </c>
      <c r="Q76" s="67"/>
      <c r="R76" s="67">
        <v>195.123178</v>
      </c>
      <c r="S76" s="67"/>
      <c r="T76" s="67"/>
      <c r="U76" s="67">
        <f t="shared" si="15"/>
        <v>0</v>
      </c>
      <c r="V76" s="67"/>
      <c r="W76" s="67"/>
      <c r="X76" s="67"/>
      <c r="Y76" s="67"/>
      <c r="Z76" s="67"/>
      <c r="AA76" s="67"/>
      <c r="AB76" s="67">
        <f t="shared" si="14"/>
        <v>63.146659546925569</v>
      </c>
      <c r="AC76" s="67"/>
      <c r="AD76" s="67">
        <f t="shared" si="16"/>
        <v>63.146659546925569</v>
      </c>
      <c r="AE76" s="67"/>
    </row>
    <row r="77" spans="1:31" s="16" customFormat="1" ht="24.75" customHeight="1" x14ac:dyDescent="0.25">
      <c r="A77" s="65" t="s">
        <v>407</v>
      </c>
      <c r="B77" s="75" t="s">
        <v>589</v>
      </c>
      <c r="C77" s="67">
        <f t="shared" ref="C77:C109" si="19">D77+E77+I77+J77+K77</f>
        <v>118</v>
      </c>
      <c r="D77" s="67"/>
      <c r="E77" s="67">
        <f t="shared" si="17"/>
        <v>118</v>
      </c>
      <c r="F77" s="67">
        <v>118</v>
      </c>
      <c r="G77" s="67"/>
      <c r="H77" s="67"/>
      <c r="I77" s="67"/>
      <c r="J77" s="67"/>
      <c r="K77" s="67">
        <f t="shared" si="18"/>
        <v>0</v>
      </c>
      <c r="L77" s="67"/>
      <c r="M77" s="67"/>
      <c r="N77" s="67">
        <f t="shared" si="13"/>
        <v>167.48495500000001</v>
      </c>
      <c r="O77" s="67"/>
      <c r="P77" s="68">
        <f t="shared" ref="P77:P91" si="20">Q77+R77</f>
        <v>167.48495500000001</v>
      </c>
      <c r="Q77" s="67"/>
      <c r="R77" s="67">
        <v>167.48495500000001</v>
      </c>
      <c r="S77" s="67"/>
      <c r="T77" s="67"/>
      <c r="U77" s="67">
        <f t="shared" si="15"/>
        <v>0</v>
      </c>
      <c r="V77" s="67"/>
      <c r="W77" s="67"/>
      <c r="X77" s="67"/>
      <c r="Y77" s="67"/>
      <c r="Z77" s="67"/>
      <c r="AA77" s="67"/>
      <c r="AB77" s="67"/>
      <c r="AC77" s="67"/>
      <c r="AD77" s="67"/>
      <c r="AE77" s="67"/>
    </row>
    <row r="78" spans="1:31" s="16" customFormat="1" ht="24.75" customHeight="1" x14ac:dyDescent="0.25">
      <c r="A78" s="70" t="s">
        <v>408</v>
      </c>
      <c r="B78" s="75" t="s">
        <v>590</v>
      </c>
      <c r="C78" s="67">
        <f t="shared" si="19"/>
        <v>4164</v>
      </c>
      <c r="D78" s="67"/>
      <c r="E78" s="67">
        <f>F78+G78+H78</f>
        <v>4164</v>
      </c>
      <c r="F78" s="67">
        <v>178</v>
      </c>
      <c r="G78" s="67"/>
      <c r="H78" s="67">
        <v>3986</v>
      </c>
      <c r="I78" s="67"/>
      <c r="J78" s="67"/>
      <c r="K78" s="67">
        <f t="shared" si="18"/>
        <v>0</v>
      </c>
      <c r="L78" s="67"/>
      <c r="M78" s="67"/>
      <c r="N78" s="67">
        <f t="shared" ref="N78:N91" si="21">O78+P78+S78+T78+U78</f>
        <v>3898.9755</v>
      </c>
      <c r="O78" s="67"/>
      <c r="P78" s="68">
        <f t="shared" si="20"/>
        <v>3484.7060000000001</v>
      </c>
      <c r="Q78" s="67"/>
      <c r="R78" s="67">
        <v>3484.7060000000001</v>
      </c>
      <c r="S78" s="67"/>
      <c r="T78" s="67"/>
      <c r="U78" s="67">
        <f t="shared" si="15"/>
        <v>414.26949999999999</v>
      </c>
      <c r="V78" s="67"/>
      <c r="W78" s="67">
        <v>414.26949999999999</v>
      </c>
      <c r="X78" s="67"/>
      <c r="Y78" s="67"/>
      <c r="Z78" s="67"/>
      <c r="AA78" s="67"/>
      <c r="AB78" s="67"/>
      <c r="AC78" s="67"/>
      <c r="AD78" s="67"/>
      <c r="AE78" s="67"/>
    </row>
    <row r="79" spans="1:31" s="16" customFormat="1" ht="20.25" customHeight="1" x14ac:dyDescent="0.25">
      <c r="A79" s="65" t="s">
        <v>409</v>
      </c>
      <c r="B79" s="75" t="s">
        <v>591</v>
      </c>
      <c r="C79" s="67">
        <f t="shared" si="19"/>
        <v>4568</v>
      </c>
      <c r="D79" s="67"/>
      <c r="E79" s="67">
        <f t="shared" si="17"/>
        <v>4568</v>
      </c>
      <c r="F79" s="67">
        <v>109</v>
      </c>
      <c r="G79" s="67"/>
      <c r="H79" s="67">
        <v>4459</v>
      </c>
      <c r="I79" s="67"/>
      <c r="J79" s="67"/>
      <c r="K79" s="67">
        <f t="shared" si="18"/>
        <v>0</v>
      </c>
      <c r="L79" s="67"/>
      <c r="M79" s="67"/>
      <c r="N79" s="67">
        <f t="shared" si="21"/>
        <v>4377.9459999999999</v>
      </c>
      <c r="O79" s="67"/>
      <c r="P79" s="68">
        <f t="shared" si="20"/>
        <v>4377.9459999999999</v>
      </c>
      <c r="Q79" s="67"/>
      <c r="R79" s="67">
        <v>4377.9459999999999</v>
      </c>
      <c r="S79" s="67"/>
      <c r="T79" s="67"/>
      <c r="U79" s="67">
        <f t="shared" si="15"/>
        <v>0</v>
      </c>
      <c r="V79" s="67"/>
      <c r="W79" s="67"/>
      <c r="X79" s="67"/>
      <c r="Y79" s="67"/>
      <c r="Z79" s="67"/>
      <c r="AA79" s="67"/>
      <c r="AB79" s="67"/>
      <c r="AC79" s="67"/>
      <c r="AD79" s="67"/>
      <c r="AE79" s="67"/>
    </row>
    <row r="80" spans="1:31" s="16" customFormat="1" ht="24.75" customHeight="1" x14ac:dyDescent="0.25">
      <c r="A80" s="70" t="s">
        <v>410</v>
      </c>
      <c r="B80" s="75" t="s">
        <v>592</v>
      </c>
      <c r="C80" s="67">
        <f t="shared" si="19"/>
        <v>230</v>
      </c>
      <c r="D80" s="67"/>
      <c r="E80" s="67">
        <f t="shared" si="17"/>
        <v>230</v>
      </c>
      <c r="F80" s="67">
        <v>144</v>
      </c>
      <c r="G80" s="67"/>
      <c r="H80" s="67">
        <v>86</v>
      </c>
      <c r="I80" s="67"/>
      <c r="J80" s="67"/>
      <c r="K80" s="67">
        <f t="shared" si="18"/>
        <v>0</v>
      </c>
      <c r="L80" s="67"/>
      <c r="M80" s="67"/>
      <c r="N80" s="67">
        <f t="shared" si="21"/>
        <v>110.15822</v>
      </c>
      <c r="O80" s="67"/>
      <c r="P80" s="68">
        <f t="shared" si="20"/>
        <v>110.15822</v>
      </c>
      <c r="Q80" s="67"/>
      <c r="R80" s="67">
        <v>110.15822</v>
      </c>
      <c r="S80" s="67"/>
      <c r="T80" s="67"/>
      <c r="U80" s="67">
        <f t="shared" si="15"/>
        <v>0</v>
      </c>
      <c r="V80" s="67"/>
      <c r="W80" s="67"/>
      <c r="X80" s="67"/>
      <c r="Y80" s="67"/>
      <c r="Z80" s="67"/>
      <c r="AA80" s="67"/>
      <c r="AB80" s="67"/>
      <c r="AC80" s="67"/>
      <c r="AD80" s="67"/>
      <c r="AE80" s="67"/>
    </row>
    <row r="81" spans="1:31" s="16" customFormat="1" ht="24.75" customHeight="1" x14ac:dyDescent="0.25">
      <c r="A81" s="65" t="s">
        <v>411</v>
      </c>
      <c r="B81" s="75" t="s">
        <v>593</v>
      </c>
      <c r="C81" s="67">
        <f t="shared" si="19"/>
        <v>2429</v>
      </c>
      <c r="D81" s="67"/>
      <c r="E81" s="67">
        <f t="shared" si="17"/>
        <v>1453</v>
      </c>
      <c r="F81" s="67">
        <v>811</v>
      </c>
      <c r="G81" s="67"/>
      <c r="H81" s="67">
        <v>642</v>
      </c>
      <c r="I81" s="67"/>
      <c r="J81" s="67"/>
      <c r="K81" s="67">
        <f t="shared" si="18"/>
        <v>976</v>
      </c>
      <c r="L81" s="67">
        <v>0</v>
      </c>
      <c r="M81" s="67">
        <v>976</v>
      </c>
      <c r="N81" s="67">
        <f t="shared" si="21"/>
        <v>2765.404</v>
      </c>
      <c r="O81" s="67"/>
      <c r="P81" s="68">
        <f t="shared" si="20"/>
        <v>2014</v>
      </c>
      <c r="Q81" s="67"/>
      <c r="R81" s="67">
        <v>2014</v>
      </c>
      <c r="S81" s="67"/>
      <c r="T81" s="67"/>
      <c r="U81" s="67">
        <f t="shared" si="15"/>
        <v>751.404</v>
      </c>
      <c r="V81" s="67"/>
      <c r="W81" s="67">
        <v>751.404</v>
      </c>
      <c r="X81" s="67"/>
      <c r="Y81" s="67"/>
      <c r="Z81" s="67"/>
      <c r="AA81" s="67"/>
      <c r="AB81" s="67"/>
      <c r="AC81" s="67"/>
      <c r="AD81" s="67">
        <f t="shared" si="16"/>
        <v>138.60977288368892</v>
      </c>
      <c r="AE81" s="67">
        <f t="shared" ref="AE81:AE102" si="22">U81/K81%</f>
        <v>76.988114754098362</v>
      </c>
    </row>
    <row r="82" spans="1:31" s="16" customFormat="1" ht="24.75" customHeight="1" x14ac:dyDescent="0.25">
      <c r="A82" s="70" t="s">
        <v>412</v>
      </c>
      <c r="B82" s="75" t="s">
        <v>594</v>
      </c>
      <c r="C82" s="67">
        <f t="shared" si="19"/>
        <v>5748</v>
      </c>
      <c r="D82" s="67"/>
      <c r="E82" s="67">
        <f t="shared" si="17"/>
        <v>5748</v>
      </c>
      <c r="F82" s="67">
        <v>214</v>
      </c>
      <c r="G82" s="67"/>
      <c r="H82" s="67">
        <v>5534</v>
      </c>
      <c r="I82" s="67"/>
      <c r="J82" s="67"/>
      <c r="K82" s="67">
        <f t="shared" si="18"/>
        <v>0</v>
      </c>
      <c r="L82" s="67"/>
      <c r="M82" s="67"/>
      <c r="N82" s="67">
        <f t="shared" si="21"/>
        <v>5738.0460000000003</v>
      </c>
      <c r="O82" s="67"/>
      <c r="P82" s="68">
        <f t="shared" si="20"/>
        <v>5738.0460000000003</v>
      </c>
      <c r="Q82" s="67"/>
      <c r="R82" s="67">
        <v>5738.0460000000003</v>
      </c>
      <c r="S82" s="67"/>
      <c r="T82" s="67"/>
      <c r="U82" s="67">
        <f t="shared" si="15"/>
        <v>0</v>
      </c>
      <c r="V82" s="67"/>
      <c r="W82" s="67"/>
      <c r="X82" s="67"/>
      <c r="Y82" s="67"/>
      <c r="Z82" s="67"/>
      <c r="AA82" s="67"/>
      <c r="AB82" s="67"/>
      <c r="AC82" s="67"/>
      <c r="AD82" s="67">
        <f t="shared" si="16"/>
        <v>99.826826722338211</v>
      </c>
      <c r="AE82" s="67"/>
    </row>
    <row r="83" spans="1:31" s="16" customFormat="1" ht="24.75" hidden="1" customHeight="1" outlineLevel="1" x14ac:dyDescent="0.25">
      <c r="A83" s="65" t="s">
        <v>413</v>
      </c>
      <c r="B83" s="75" t="s">
        <v>595</v>
      </c>
      <c r="C83" s="67">
        <f t="shared" si="19"/>
        <v>592</v>
      </c>
      <c r="D83" s="67"/>
      <c r="E83" s="67">
        <f t="shared" si="17"/>
        <v>592</v>
      </c>
      <c r="F83" s="67">
        <v>592</v>
      </c>
      <c r="G83" s="67"/>
      <c r="H83" s="67"/>
      <c r="I83" s="67"/>
      <c r="J83" s="67"/>
      <c r="K83" s="67">
        <f t="shared" si="18"/>
        <v>0</v>
      </c>
      <c r="L83" s="67"/>
      <c r="M83" s="67"/>
      <c r="N83" s="67">
        <f t="shared" si="21"/>
        <v>832.05</v>
      </c>
      <c r="O83" s="67"/>
      <c r="P83" s="68">
        <f t="shared" si="20"/>
        <v>832.05</v>
      </c>
      <c r="Q83" s="67"/>
      <c r="R83" s="67">
        <v>832.05</v>
      </c>
      <c r="S83" s="67"/>
      <c r="T83" s="67"/>
      <c r="U83" s="67">
        <f t="shared" si="15"/>
        <v>0</v>
      </c>
      <c r="V83" s="67"/>
      <c r="W83" s="67"/>
      <c r="X83" s="67"/>
      <c r="Y83" s="67"/>
      <c r="Z83" s="67"/>
      <c r="AA83" s="67"/>
      <c r="AB83" s="67"/>
      <c r="AC83" s="67"/>
      <c r="AD83" s="67">
        <f t="shared" si="16"/>
        <v>140.54898648648648</v>
      </c>
      <c r="AE83" s="67"/>
    </row>
    <row r="84" spans="1:31" s="16" customFormat="1" ht="24.75" hidden="1" customHeight="1" outlineLevel="1" x14ac:dyDescent="0.25">
      <c r="A84" s="70" t="s">
        <v>414</v>
      </c>
      <c r="B84" s="75" t="s">
        <v>596</v>
      </c>
      <c r="C84" s="67">
        <f t="shared" si="19"/>
        <v>2476</v>
      </c>
      <c r="D84" s="67"/>
      <c r="E84" s="67">
        <f t="shared" si="17"/>
        <v>2476</v>
      </c>
      <c r="F84" s="67">
        <v>2476</v>
      </c>
      <c r="G84" s="67"/>
      <c r="H84" s="67"/>
      <c r="I84" s="67"/>
      <c r="J84" s="67"/>
      <c r="K84" s="67">
        <f t="shared" si="18"/>
        <v>0</v>
      </c>
      <c r="L84" s="67"/>
      <c r="M84" s="67"/>
      <c r="N84" s="67">
        <f t="shared" si="21"/>
        <v>3498.4920000000002</v>
      </c>
      <c r="O84" s="67"/>
      <c r="P84" s="68">
        <f t="shared" si="20"/>
        <v>3498.4920000000002</v>
      </c>
      <c r="Q84" s="67"/>
      <c r="R84" s="67">
        <v>3498.4920000000002</v>
      </c>
      <c r="S84" s="67"/>
      <c r="T84" s="67"/>
      <c r="U84" s="67">
        <f t="shared" si="15"/>
        <v>0</v>
      </c>
      <c r="V84" s="67"/>
      <c r="W84" s="67"/>
      <c r="X84" s="67"/>
      <c r="Y84" s="67"/>
      <c r="Z84" s="67"/>
      <c r="AA84" s="67"/>
      <c r="AB84" s="67"/>
      <c r="AC84" s="67"/>
      <c r="AD84" s="67">
        <f t="shared" si="16"/>
        <v>141.29612277867528</v>
      </c>
      <c r="AE84" s="67"/>
    </row>
    <row r="85" spans="1:31" s="16" customFormat="1" ht="24.75" hidden="1" customHeight="1" outlineLevel="1" x14ac:dyDescent="0.25">
      <c r="A85" s="65" t="s">
        <v>415</v>
      </c>
      <c r="B85" s="75" t="s">
        <v>359</v>
      </c>
      <c r="C85" s="67">
        <f t="shared" si="19"/>
        <v>4909</v>
      </c>
      <c r="D85" s="67"/>
      <c r="E85" s="67">
        <f t="shared" si="17"/>
        <v>4909</v>
      </c>
      <c r="F85" s="67">
        <v>4909</v>
      </c>
      <c r="G85" s="67"/>
      <c r="H85" s="67"/>
      <c r="I85" s="67"/>
      <c r="J85" s="67"/>
      <c r="K85" s="67">
        <f t="shared" si="18"/>
        <v>0</v>
      </c>
      <c r="L85" s="67"/>
      <c r="M85" s="67"/>
      <c r="N85" s="67">
        <f t="shared" si="21"/>
        <v>5396.5276039999999</v>
      </c>
      <c r="O85" s="67"/>
      <c r="P85" s="68">
        <f t="shared" si="20"/>
        <v>5396.5276039999999</v>
      </c>
      <c r="Q85" s="67"/>
      <c r="R85" s="67">
        <v>5396.5276039999999</v>
      </c>
      <c r="S85" s="67"/>
      <c r="T85" s="67"/>
      <c r="U85" s="67">
        <f t="shared" si="15"/>
        <v>0</v>
      </c>
      <c r="V85" s="67"/>
      <c r="W85" s="67"/>
      <c r="X85" s="67"/>
      <c r="Y85" s="67"/>
      <c r="Z85" s="67"/>
      <c r="AA85" s="67"/>
      <c r="AB85" s="67"/>
      <c r="AC85" s="67"/>
      <c r="AD85" s="67">
        <f t="shared" si="16"/>
        <v>109.93130177225503</v>
      </c>
      <c r="AE85" s="67"/>
    </row>
    <row r="86" spans="1:31" s="16" customFormat="1" ht="24.75" hidden="1" customHeight="1" outlineLevel="1" x14ac:dyDescent="0.25">
      <c r="A86" s="70" t="s">
        <v>416</v>
      </c>
      <c r="B86" s="75" t="s">
        <v>597</v>
      </c>
      <c r="C86" s="67">
        <f t="shared" si="19"/>
        <v>7278</v>
      </c>
      <c r="D86" s="67"/>
      <c r="E86" s="67">
        <f t="shared" si="17"/>
        <v>7278</v>
      </c>
      <c r="F86" s="67">
        <v>7278</v>
      </c>
      <c r="G86" s="67"/>
      <c r="H86" s="67"/>
      <c r="I86" s="67"/>
      <c r="J86" s="67"/>
      <c r="K86" s="67">
        <f t="shared" si="18"/>
        <v>0</v>
      </c>
      <c r="L86" s="67"/>
      <c r="M86" s="67"/>
      <c r="N86" s="67">
        <f t="shared" si="21"/>
        <v>8872.1130219999995</v>
      </c>
      <c r="O86" s="67"/>
      <c r="P86" s="68">
        <f t="shared" si="20"/>
        <v>8872.1130219999995</v>
      </c>
      <c r="Q86" s="67"/>
      <c r="R86" s="67">
        <v>8872.1130219999995</v>
      </c>
      <c r="S86" s="67"/>
      <c r="T86" s="67"/>
      <c r="U86" s="67">
        <f t="shared" si="15"/>
        <v>0</v>
      </c>
      <c r="V86" s="67"/>
      <c r="W86" s="67"/>
      <c r="X86" s="67"/>
      <c r="Y86" s="67"/>
      <c r="Z86" s="67"/>
      <c r="AA86" s="67"/>
      <c r="AB86" s="67"/>
      <c r="AC86" s="67"/>
      <c r="AD86" s="67">
        <f t="shared" si="16"/>
        <v>121.9031742511679</v>
      </c>
      <c r="AE86" s="67"/>
    </row>
    <row r="87" spans="1:31" s="16" customFormat="1" ht="24.75" customHeight="1" collapsed="1" x14ac:dyDescent="0.25">
      <c r="A87" s="65" t="s">
        <v>417</v>
      </c>
      <c r="B87" s="75" t="s">
        <v>598</v>
      </c>
      <c r="C87" s="67">
        <f t="shared" si="19"/>
        <v>4128</v>
      </c>
      <c r="D87" s="67"/>
      <c r="E87" s="67">
        <f t="shared" si="17"/>
        <v>4128</v>
      </c>
      <c r="F87" s="67">
        <v>4128</v>
      </c>
      <c r="G87" s="67"/>
      <c r="H87" s="67"/>
      <c r="I87" s="67"/>
      <c r="J87" s="67"/>
      <c r="K87" s="67">
        <f t="shared" si="18"/>
        <v>0</v>
      </c>
      <c r="L87" s="67"/>
      <c r="M87" s="67"/>
      <c r="N87" s="67">
        <f t="shared" si="21"/>
        <v>5056.6251220000004</v>
      </c>
      <c r="O87" s="67"/>
      <c r="P87" s="68">
        <f t="shared" si="20"/>
        <v>5056.6251220000004</v>
      </c>
      <c r="Q87" s="67"/>
      <c r="R87" s="67">
        <v>5056.6251220000004</v>
      </c>
      <c r="S87" s="67"/>
      <c r="T87" s="67"/>
      <c r="U87" s="67">
        <f t="shared" si="15"/>
        <v>0</v>
      </c>
      <c r="V87" s="67"/>
      <c r="W87" s="67"/>
      <c r="X87" s="67"/>
      <c r="Y87" s="67"/>
      <c r="Z87" s="67"/>
      <c r="AA87" s="67"/>
      <c r="AB87" s="67"/>
      <c r="AC87" s="67"/>
      <c r="AD87" s="67">
        <f t="shared" si="16"/>
        <v>122.49576361434109</v>
      </c>
      <c r="AE87" s="67"/>
    </row>
    <row r="88" spans="1:31" s="16" customFormat="1" ht="19.5" customHeight="1" x14ac:dyDescent="0.25">
      <c r="A88" s="70" t="s">
        <v>418</v>
      </c>
      <c r="B88" s="75" t="s">
        <v>668</v>
      </c>
      <c r="C88" s="67">
        <f t="shared" si="19"/>
        <v>777</v>
      </c>
      <c r="D88" s="67"/>
      <c r="E88" s="67">
        <f t="shared" si="17"/>
        <v>777</v>
      </c>
      <c r="F88" s="67">
        <v>777</v>
      </c>
      <c r="G88" s="67"/>
      <c r="H88" s="67"/>
      <c r="I88" s="67"/>
      <c r="J88" s="67"/>
      <c r="K88" s="67">
        <f t="shared" si="18"/>
        <v>0</v>
      </c>
      <c r="L88" s="67"/>
      <c r="M88" s="67"/>
      <c r="N88" s="67">
        <f t="shared" si="21"/>
        <v>752.07360000000006</v>
      </c>
      <c r="O88" s="67"/>
      <c r="P88" s="68">
        <f t="shared" si="20"/>
        <v>752.07360000000006</v>
      </c>
      <c r="Q88" s="67"/>
      <c r="R88" s="67">
        <v>752.07360000000006</v>
      </c>
      <c r="S88" s="67"/>
      <c r="T88" s="67"/>
      <c r="U88" s="67">
        <f t="shared" si="15"/>
        <v>0</v>
      </c>
      <c r="V88" s="67"/>
      <c r="W88" s="67"/>
      <c r="X88" s="67"/>
      <c r="Y88" s="67"/>
      <c r="Z88" s="67"/>
      <c r="AA88" s="67"/>
      <c r="AB88" s="67"/>
      <c r="AC88" s="67"/>
      <c r="AD88" s="67">
        <f t="shared" si="16"/>
        <v>96.791969111969124</v>
      </c>
      <c r="AE88" s="67"/>
    </row>
    <row r="89" spans="1:31" s="16" customFormat="1" ht="24.75" customHeight="1" x14ac:dyDescent="0.25">
      <c r="A89" s="65" t="s">
        <v>419</v>
      </c>
      <c r="B89" s="75" t="s">
        <v>535</v>
      </c>
      <c r="C89" s="67">
        <f t="shared" si="19"/>
        <v>0</v>
      </c>
      <c r="D89" s="67"/>
      <c r="E89" s="67">
        <f t="shared" si="17"/>
        <v>0</v>
      </c>
      <c r="F89" s="67"/>
      <c r="G89" s="67"/>
      <c r="H89" s="67"/>
      <c r="I89" s="67"/>
      <c r="J89" s="67"/>
      <c r="K89" s="67"/>
      <c r="L89" s="67"/>
      <c r="M89" s="67"/>
      <c r="N89" s="67">
        <f t="shared" si="21"/>
        <v>264253.96598699997</v>
      </c>
      <c r="O89" s="67"/>
      <c r="P89" s="68">
        <f t="shared" si="20"/>
        <v>264253.96598699997</v>
      </c>
      <c r="Q89" s="67"/>
      <c r="R89" s="67">
        <v>264253.96598699997</v>
      </c>
      <c r="S89" s="67"/>
      <c r="T89" s="67"/>
      <c r="U89" s="67">
        <f t="shared" si="15"/>
        <v>0</v>
      </c>
      <c r="V89" s="67"/>
      <c r="W89" s="67"/>
      <c r="X89" s="67"/>
      <c r="Y89" s="67"/>
      <c r="Z89" s="67"/>
      <c r="AA89" s="67"/>
      <c r="AB89" s="67"/>
      <c r="AC89" s="67"/>
      <c r="AD89" s="67"/>
      <c r="AE89" s="67"/>
    </row>
    <row r="90" spans="1:31" s="16" customFormat="1" ht="24.75" customHeight="1" x14ac:dyDescent="0.25">
      <c r="A90" s="70" t="s">
        <v>420</v>
      </c>
      <c r="B90" s="75" t="s">
        <v>538</v>
      </c>
      <c r="C90" s="67">
        <v>102145</v>
      </c>
      <c r="D90" s="67">
        <v>19040</v>
      </c>
      <c r="E90" s="67">
        <v>81962</v>
      </c>
      <c r="F90" s="67">
        <v>81902</v>
      </c>
      <c r="G90" s="67">
        <v>0</v>
      </c>
      <c r="H90" s="67">
        <v>60</v>
      </c>
      <c r="I90" s="67">
        <v>0</v>
      </c>
      <c r="J90" s="67">
        <v>0</v>
      </c>
      <c r="K90" s="67">
        <v>1143</v>
      </c>
      <c r="L90" s="67">
        <v>0</v>
      </c>
      <c r="M90" s="67">
        <v>1143</v>
      </c>
      <c r="N90" s="67">
        <v>121030.011104</v>
      </c>
      <c r="O90" s="67">
        <v>19580.331565</v>
      </c>
      <c r="P90" s="67">
        <v>100011.679539</v>
      </c>
      <c r="Q90" s="67">
        <v>97896.436339000007</v>
      </c>
      <c r="R90" s="67">
        <v>2115.2431999999999</v>
      </c>
      <c r="S90" s="67">
        <v>0</v>
      </c>
      <c r="T90" s="67">
        <v>0</v>
      </c>
      <c r="U90" s="67">
        <v>1438</v>
      </c>
      <c r="V90" s="67">
        <v>0</v>
      </c>
      <c r="W90" s="67">
        <v>1438</v>
      </c>
      <c r="X90" s="67">
        <v>0</v>
      </c>
      <c r="Y90" s="67">
        <v>0</v>
      </c>
      <c r="Z90" s="67">
        <v>0</v>
      </c>
      <c r="AA90" s="67">
        <v>0</v>
      </c>
      <c r="AB90" s="67">
        <f t="shared" ref="AB90" si="23">N90/C90%</f>
        <v>118.48843419061139</v>
      </c>
      <c r="AC90" s="67">
        <f t="shared" ref="AC90" si="24">O90/D90%</f>
        <v>102.83787586659663</v>
      </c>
      <c r="AD90" s="67">
        <f t="shared" si="16"/>
        <v>122.02200963739294</v>
      </c>
      <c r="AE90" s="67">
        <f t="shared" ref="AE90" si="25">U90/K90%</f>
        <v>125.8092738407699</v>
      </c>
    </row>
    <row r="91" spans="1:31" s="16" customFormat="1" ht="22.5" customHeight="1" x14ac:dyDescent="0.25">
      <c r="A91" s="65" t="s">
        <v>536</v>
      </c>
      <c r="B91" s="75" t="s">
        <v>669</v>
      </c>
      <c r="C91" s="67">
        <f t="shared" si="19"/>
        <v>0</v>
      </c>
      <c r="D91" s="67"/>
      <c r="E91" s="67">
        <f t="shared" si="17"/>
        <v>0</v>
      </c>
      <c r="F91" s="67"/>
      <c r="G91" s="67"/>
      <c r="H91" s="67"/>
      <c r="I91" s="67"/>
      <c r="J91" s="67"/>
      <c r="K91" s="67"/>
      <c r="L91" s="67"/>
      <c r="M91" s="67"/>
      <c r="N91" s="67">
        <f t="shared" si="21"/>
        <v>5456.9999999997672</v>
      </c>
      <c r="O91" s="67">
        <v>5456.9999999997672</v>
      </c>
      <c r="P91" s="68">
        <f t="shared" si="20"/>
        <v>0</v>
      </c>
      <c r="Q91" s="67"/>
      <c r="R91" s="67"/>
      <c r="S91" s="67"/>
      <c r="T91" s="67"/>
      <c r="U91" s="67">
        <f t="shared" si="15"/>
        <v>0</v>
      </c>
      <c r="V91" s="67"/>
      <c r="W91" s="67"/>
      <c r="X91" s="67"/>
      <c r="Y91" s="67"/>
      <c r="Z91" s="67"/>
      <c r="AA91" s="67"/>
      <c r="AB91" s="67"/>
      <c r="AC91" s="67"/>
      <c r="AD91" s="67"/>
      <c r="AE91" s="67"/>
    </row>
    <row r="92" spans="1:31" s="16" customFormat="1" ht="53.25" customHeight="1" x14ac:dyDescent="0.25">
      <c r="A92" s="79" t="s">
        <v>363</v>
      </c>
      <c r="B92" s="80" t="s">
        <v>364</v>
      </c>
      <c r="C92" s="61">
        <f t="shared" si="19"/>
        <v>1180494.439</v>
      </c>
      <c r="D92" s="61">
        <f>SUM(D93:D103)</f>
        <v>211690.43899999998</v>
      </c>
      <c r="E92" s="61">
        <f t="shared" ref="E92" si="26">SUM(E93:E102)</f>
        <v>0</v>
      </c>
      <c r="F92" s="61"/>
      <c r="G92" s="61"/>
      <c r="H92" s="61"/>
      <c r="I92" s="61">
        <f>SUM(I93:I102)</f>
        <v>0</v>
      </c>
      <c r="J92" s="61">
        <f>SUM(J93:J102)</f>
        <v>0</v>
      </c>
      <c r="K92" s="61">
        <f t="shared" si="18"/>
        <v>968804</v>
      </c>
      <c r="L92" s="61">
        <f>SUM(L93:L103)</f>
        <v>595672</v>
      </c>
      <c r="M92" s="61">
        <f>SUM(M93:M102)</f>
        <v>373132</v>
      </c>
      <c r="N92" s="61">
        <f>O92+P92+S92+T92+U92</f>
        <v>231684.504281</v>
      </c>
      <c r="O92" s="61">
        <f>SUM(O93:O103)</f>
        <v>230499.11428099999</v>
      </c>
      <c r="P92" s="61">
        <f t="shared" ref="P92:T92" si="27">SUM(P93:P103)</f>
        <v>0</v>
      </c>
      <c r="Q92" s="61">
        <f t="shared" si="27"/>
        <v>0</v>
      </c>
      <c r="R92" s="61">
        <f t="shared" si="27"/>
        <v>0</v>
      </c>
      <c r="S92" s="61">
        <f t="shared" si="27"/>
        <v>0</v>
      </c>
      <c r="T92" s="61">
        <f t="shared" si="27"/>
        <v>0</v>
      </c>
      <c r="U92" s="61">
        <f t="shared" ref="U92" si="28">SUM(U93:U102)</f>
        <v>1185.3900000000001</v>
      </c>
      <c r="V92" s="61">
        <f>SUM(V93:V103)</f>
        <v>1185.3900000000001</v>
      </c>
      <c r="W92" s="61"/>
      <c r="X92" s="61">
        <f t="shared" ref="X92:Z92" si="29">SUM(X93:X103)</f>
        <v>0</v>
      </c>
      <c r="Y92" s="61">
        <f t="shared" si="29"/>
        <v>0</v>
      </c>
      <c r="Z92" s="61">
        <f t="shared" si="29"/>
        <v>0</v>
      </c>
      <c r="AA92" s="61"/>
      <c r="AB92" s="67">
        <f t="shared" ref="AB92:AC112" si="30">N92/C92%</f>
        <v>19.626056390173304</v>
      </c>
      <c r="AC92" s="67">
        <f t="shared" si="30"/>
        <v>108.88499044635644</v>
      </c>
      <c r="AD92" s="67"/>
      <c r="AE92" s="67">
        <f t="shared" si="22"/>
        <v>0.12235601834839657</v>
      </c>
    </row>
    <row r="93" spans="1:31" s="16" customFormat="1" ht="24.75" customHeight="1" x14ac:dyDescent="0.25">
      <c r="A93" s="81" t="s">
        <v>259</v>
      </c>
      <c r="B93" s="82" t="s">
        <v>134</v>
      </c>
      <c r="C93" s="67">
        <f t="shared" si="19"/>
        <v>88058.676000000007</v>
      </c>
      <c r="D93" s="68">
        <v>43589.675999999999</v>
      </c>
      <c r="E93" s="68"/>
      <c r="F93" s="68"/>
      <c r="G93" s="68"/>
      <c r="H93" s="68"/>
      <c r="I93" s="68"/>
      <c r="J93" s="68"/>
      <c r="K93" s="67">
        <f t="shared" si="18"/>
        <v>44469</v>
      </c>
      <c r="L93" s="68">
        <v>23461</v>
      </c>
      <c r="M93" s="68">
        <v>21008</v>
      </c>
      <c r="N93" s="67">
        <f t="shared" ref="N93:N100" si="31">O93+P93+S93+T93+U93</f>
        <v>2700.1880000000001</v>
      </c>
      <c r="O93" s="68">
        <f>12746.097212-10045.909212</f>
        <v>2700.1880000000001</v>
      </c>
      <c r="P93" s="68">
        <f t="shared" ref="P93:P107" si="32">Q93+R93</f>
        <v>0</v>
      </c>
      <c r="Q93" s="68"/>
      <c r="R93" s="68"/>
      <c r="S93" s="68"/>
      <c r="T93" s="68"/>
      <c r="U93" s="67">
        <f t="shared" ref="U93:U102" si="33">V93+W93</f>
        <v>0</v>
      </c>
      <c r="V93" s="68"/>
      <c r="W93" s="68"/>
      <c r="X93" s="67">
        <f t="shared" ref="X93:X102" si="34">Y93+Z93</f>
        <v>0</v>
      </c>
      <c r="Y93" s="67"/>
      <c r="Z93" s="67"/>
      <c r="AA93" s="67"/>
      <c r="AB93" s="67">
        <f t="shared" si="30"/>
        <v>3.0663508953961562</v>
      </c>
      <c r="AC93" s="67">
        <f t="shared" si="30"/>
        <v>6.1945585463860757</v>
      </c>
      <c r="AD93" s="67"/>
      <c r="AE93" s="67">
        <f t="shared" si="22"/>
        <v>0</v>
      </c>
    </row>
    <row r="94" spans="1:31" s="16" customFormat="1" ht="24" customHeight="1" x14ac:dyDescent="0.25">
      <c r="A94" s="81" t="s">
        <v>261</v>
      </c>
      <c r="B94" s="82" t="s">
        <v>133</v>
      </c>
      <c r="C94" s="67">
        <f t="shared" si="19"/>
        <v>82850</v>
      </c>
      <c r="D94" s="68"/>
      <c r="E94" s="68"/>
      <c r="F94" s="68"/>
      <c r="G94" s="68"/>
      <c r="H94" s="68"/>
      <c r="I94" s="68"/>
      <c r="J94" s="68"/>
      <c r="K94" s="67">
        <f t="shared" si="18"/>
        <v>82850</v>
      </c>
      <c r="L94" s="68">
        <v>46414</v>
      </c>
      <c r="M94" s="68">
        <v>36436</v>
      </c>
      <c r="N94" s="67">
        <f t="shared" si="31"/>
        <v>0</v>
      </c>
      <c r="O94" s="68"/>
      <c r="P94" s="68">
        <f t="shared" si="32"/>
        <v>0</v>
      </c>
      <c r="Q94" s="68"/>
      <c r="R94" s="68"/>
      <c r="S94" s="68"/>
      <c r="T94" s="68"/>
      <c r="U94" s="67">
        <f t="shared" si="33"/>
        <v>0</v>
      </c>
      <c r="V94" s="68"/>
      <c r="W94" s="68"/>
      <c r="X94" s="67">
        <f t="shared" si="34"/>
        <v>0</v>
      </c>
      <c r="Y94" s="67"/>
      <c r="Z94" s="67"/>
      <c r="AA94" s="67"/>
      <c r="AB94" s="67">
        <f t="shared" si="30"/>
        <v>0</v>
      </c>
      <c r="AC94" s="67"/>
      <c r="AD94" s="67"/>
      <c r="AE94" s="67">
        <f t="shared" si="22"/>
        <v>0</v>
      </c>
    </row>
    <row r="95" spans="1:31" s="16" customFormat="1" ht="24" customHeight="1" x14ac:dyDescent="0.25">
      <c r="A95" s="81" t="s">
        <v>263</v>
      </c>
      <c r="B95" s="82" t="s">
        <v>135</v>
      </c>
      <c r="C95" s="67">
        <f t="shared" si="19"/>
        <v>79336</v>
      </c>
      <c r="D95" s="68">
        <v>8000</v>
      </c>
      <c r="E95" s="68"/>
      <c r="F95" s="68"/>
      <c r="G95" s="68"/>
      <c r="H95" s="68"/>
      <c r="I95" s="68"/>
      <c r="J95" s="68"/>
      <c r="K95" s="67">
        <f t="shared" si="18"/>
        <v>71336</v>
      </c>
      <c r="L95" s="68">
        <v>37076</v>
      </c>
      <c r="M95" s="68">
        <v>34260</v>
      </c>
      <c r="N95" s="67">
        <f t="shared" si="31"/>
        <v>2496.4159999999997</v>
      </c>
      <c r="O95" s="68">
        <v>2496.4159999999997</v>
      </c>
      <c r="P95" s="68">
        <f t="shared" si="32"/>
        <v>0</v>
      </c>
      <c r="Q95" s="68"/>
      <c r="R95" s="68"/>
      <c r="S95" s="68"/>
      <c r="T95" s="68"/>
      <c r="U95" s="67">
        <f t="shared" si="33"/>
        <v>0</v>
      </c>
      <c r="V95" s="68"/>
      <c r="W95" s="68"/>
      <c r="X95" s="67">
        <f t="shared" si="34"/>
        <v>0</v>
      </c>
      <c r="Y95" s="67"/>
      <c r="Z95" s="67"/>
      <c r="AA95" s="67"/>
      <c r="AB95" s="67">
        <f t="shared" si="30"/>
        <v>3.1466370878289802</v>
      </c>
      <c r="AC95" s="67">
        <f t="shared" si="30"/>
        <v>31.205199999999998</v>
      </c>
      <c r="AD95" s="67"/>
      <c r="AE95" s="67">
        <f t="shared" si="22"/>
        <v>0</v>
      </c>
    </row>
    <row r="96" spans="1:31" s="16" customFormat="1" ht="24.75" customHeight="1" x14ac:dyDescent="0.25">
      <c r="A96" s="81" t="s">
        <v>265</v>
      </c>
      <c r="B96" s="82" t="s">
        <v>601</v>
      </c>
      <c r="C96" s="67">
        <f t="shared" si="19"/>
        <v>130225</v>
      </c>
      <c r="D96" s="68">
        <v>56600</v>
      </c>
      <c r="E96" s="68"/>
      <c r="F96" s="68"/>
      <c r="G96" s="68"/>
      <c r="H96" s="68"/>
      <c r="I96" s="68"/>
      <c r="J96" s="68"/>
      <c r="K96" s="67">
        <f t="shared" si="18"/>
        <v>73625</v>
      </c>
      <c r="L96" s="68">
        <v>45341</v>
      </c>
      <c r="M96" s="68">
        <v>28284</v>
      </c>
      <c r="N96" s="67">
        <f t="shared" si="31"/>
        <v>69018.001726999995</v>
      </c>
      <c r="O96" s="68">
        <v>69018.001726999995</v>
      </c>
      <c r="P96" s="68">
        <f t="shared" si="32"/>
        <v>0</v>
      </c>
      <c r="Q96" s="68"/>
      <c r="R96" s="68"/>
      <c r="S96" s="68"/>
      <c r="T96" s="68"/>
      <c r="U96" s="67">
        <f t="shared" si="33"/>
        <v>0</v>
      </c>
      <c r="V96" s="68"/>
      <c r="W96" s="68"/>
      <c r="X96" s="67">
        <f t="shared" si="34"/>
        <v>0</v>
      </c>
      <c r="Y96" s="67"/>
      <c r="Z96" s="67"/>
      <c r="AA96" s="67"/>
      <c r="AB96" s="67">
        <f t="shared" si="30"/>
        <v>52.999041449030521</v>
      </c>
      <c r="AC96" s="67">
        <f t="shared" si="30"/>
        <v>121.93993237985865</v>
      </c>
      <c r="AD96" s="67"/>
      <c r="AE96" s="67">
        <f t="shared" si="22"/>
        <v>0</v>
      </c>
    </row>
    <row r="97" spans="1:38" s="16" customFormat="1" ht="24.75" customHeight="1" x14ac:dyDescent="0.25">
      <c r="A97" s="81" t="s">
        <v>267</v>
      </c>
      <c r="B97" s="82" t="s">
        <v>148</v>
      </c>
      <c r="C97" s="67">
        <f t="shared" si="19"/>
        <v>199479.408</v>
      </c>
      <c r="D97" s="68">
        <v>7460.4080000000004</v>
      </c>
      <c r="E97" s="68"/>
      <c r="F97" s="68"/>
      <c r="G97" s="68"/>
      <c r="H97" s="68"/>
      <c r="I97" s="68"/>
      <c r="J97" s="68"/>
      <c r="K97" s="67">
        <f t="shared" si="18"/>
        <v>192019</v>
      </c>
      <c r="L97" s="68">
        <v>124892</v>
      </c>
      <c r="M97" s="68">
        <v>67127</v>
      </c>
      <c r="N97" s="67">
        <f t="shared" si="31"/>
        <v>29701.556485000001</v>
      </c>
      <c r="O97" s="68">
        <v>28516.166485000002</v>
      </c>
      <c r="P97" s="68">
        <f t="shared" si="32"/>
        <v>0</v>
      </c>
      <c r="Q97" s="68"/>
      <c r="R97" s="68"/>
      <c r="S97" s="68"/>
      <c r="T97" s="68"/>
      <c r="U97" s="67">
        <f t="shared" si="33"/>
        <v>1185.3900000000001</v>
      </c>
      <c r="V97" s="68">
        <v>1185.3900000000001</v>
      </c>
      <c r="W97" s="68"/>
      <c r="X97" s="67">
        <f t="shared" si="34"/>
        <v>0</v>
      </c>
      <c r="Y97" s="67"/>
      <c r="Z97" s="67"/>
      <c r="AA97" s="67"/>
      <c r="AB97" s="67">
        <f t="shared" si="30"/>
        <v>14.889535106801601</v>
      </c>
      <c r="AC97" s="67">
        <f t="shared" si="30"/>
        <v>382.23333743945369</v>
      </c>
      <c r="AD97" s="67"/>
      <c r="AE97" s="67">
        <f t="shared" si="22"/>
        <v>0.6173295350980893</v>
      </c>
    </row>
    <row r="98" spans="1:38" s="16" customFormat="1" ht="24.75" customHeight="1" x14ac:dyDescent="0.25">
      <c r="A98" s="81" t="s">
        <v>269</v>
      </c>
      <c r="B98" s="82" t="s">
        <v>147</v>
      </c>
      <c r="C98" s="67">
        <f t="shared" si="19"/>
        <v>112222</v>
      </c>
      <c r="D98" s="68"/>
      <c r="E98" s="68"/>
      <c r="F98" s="68"/>
      <c r="G98" s="68"/>
      <c r="H98" s="68"/>
      <c r="I98" s="68"/>
      <c r="J98" s="68"/>
      <c r="K98" s="67">
        <f t="shared" si="18"/>
        <v>112222</v>
      </c>
      <c r="L98" s="68">
        <v>68265</v>
      </c>
      <c r="M98" s="68">
        <v>43957</v>
      </c>
      <c r="N98" s="67">
        <f t="shared" si="31"/>
        <v>29302.983295999999</v>
      </c>
      <c r="O98" s="68">
        <v>29302.983295999999</v>
      </c>
      <c r="P98" s="68">
        <f t="shared" si="32"/>
        <v>0</v>
      </c>
      <c r="Q98" s="68"/>
      <c r="R98" s="68"/>
      <c r="S98" s="68"/>
      <c r="T98" s="68"/>
      <c r="U98" s="67">
        <f t="shared" si="33"/>
        <v>0</v>
      </c>
      <c r="V98" s="68"/>
      <c r="W98" s="68"/>
      <c r="X98" s="67">
        <f t="shared" si="34"/>
        <v>0</v>
      </c>
      <c r="Y98" s="67"/>
      <c r="Z98" s="67"/>
      <c r="AA98" s="67"/>
      <c r="AB98" s="67">
        <f t="shared" si="30"/>
        <v>26.111620979843522</v>
      </c>
      <c r="AC98" s="67"/>
      <c r="AD98" s="67"/>
      <c r="AE98" s="67">
        <f t="shared" si="22"/>
        <v>0</v>
      </c>
    </row>
    <row r="99" spans="1:38" s="16" customFormat="1" ht="24.75" customHeight="1" x14ac:dyDescent="0.25">
      <c r="A99" s="81" t="s">
        <v>271</v>
      </c>
      <c r="B99" s="82" t="s">
        <v>164</v>
      </c>
      <c r="C99" s="67">
        <f t="shared" si="19"/>
        <v>80961.437999999995</v>
      </c>
      <c r="D99" s="68">
        <v>3938.4380000000001</v>
      </c>
      <c r="E99" s="68"/>
      <c r="F99" s="68"/>
      <c r="G99" s="68"/>
      <c r="H99" s="68"/>
      <c r="I99" s="68"/>
      <c r="J99" s="68"/>
      <c r="K99" s="67">
        <f t="shared" si="18"/>
        <v>77023</v>
      </c>
      <c r="L99" s="68">
        <v>40695</v>
      </c>
      <c r="M99" s="68">
        <v>36328</v>
      </c>
      <c r="N99" s="67">
        <f t="shared" si="31"/>
        <v>3938</v>
      </c>
      <c r="O99" s="68">
        <v>3938</v>
      </c>
      <c r="P99" s="68">
        <f t="shared" si="32"/>
        <v>0</v>
      </c>
      <c r="Q99" s="68"/>
      <c r="R99" s="68"/>
      <c r="S99" s="68"/>
      <c r="T99" s="68"/>
      <c r="U99" s="67">
        <f t="shared" si="33"/>
        <v>0</v>
      </c>
      <c r="V99" s="68"/>
      <c r="W99" s="68"/>
      <c r="X99" s="67">
        <f t="shared" si="34"/>
        <v>0</v>
      </c>
      <c r="Y99" s="67"/>
      <c r="Z99" s="67"/>
      <c r="AA99" s="67"/>
      <c r="AB99" s="67">
        <f t="shared" si="30"/>
        <v>4.8640440403244813</v>
      </c>
      <c r="AC99" s="67">
        <f t="shared" si="30"/>
        <v>99.988878839783695</v>
      </c>
      <c r="AD99" s="67"/>
      <c r="AE99" s="67">
        <f t="shared" si="22"/>
        <v>0</v>
      </c>
    </row>
    <row r="100" spans="1:38" s="16" customFormat="1" ht="24.75" customHeight="1" x14ac:dyDescent="0.25">
      <c r="A100" s="81" t="s">
        <v>273</v>
      </c>
      <c r="B100" s="82" t="s">
        <v>132</v>
      </c>
      <c r="C100" s="67">
        <f t="shared" si="19"/>
        <v>138337</v>
      </c>
      <c r="D100" s="68">
        <v>63000</v>
      </c>
      <c r="E100" s="68"/>
      <c r="F100" s="68"/>
      <c r="G100" s="68"/>
      <c r="H100" s="68"/>
      <c r="I100" s="68"/>
      <c r="J100" s="68"/>
      <c r="K100" s="67">
        <f t="shared" si="18"/>
        <v>75337</v>
      </c>
      <c r="L100" s="68">
        <v>49675</v>
      </c>
      <c r="M100" s="68">
        <v>25662</v>
      </c>
      <c r="N100" s="67">
        <f t="shared" si="31"/>
        <v>58494.868773000009</v>
      </c>
      <c r="O100" s="68">
        <v>58494.868773000009</v>
      </c>
      <c r="P100" s="68">
        <f t="shared" si="32"/>
        <v>0</v>
      </c>
      <c r="Q100" s="68"/>
      <c r="R100" s="68"/>
      <c r="S100" s="68"/>
      <c r="T100" s="68"/>
      <c r="U100" s="67">
        <f t="shared" si="33"/>
        <v>0</v>
      </c>
      <c r="V100" s="68"/>
      <c r="W100" s="68"/>
      <c r="X100" s="67">
        <f t="shared" si="34"/>
        <v>0</v>
      </c>
      <c r="Y100" s="67"/>
      <c r="Z100" s="67"/>
      <c r="AA100" s="67"/>
      <c r="AB100" s="67">
        <f t="shared" si="30"/>
        <v>42.284326516405599</v>
      </c>
      <c r="AC100" s="67">
        <f t="shared" si="30"/>
        <v>92.848998052380963</v>
      </c>
      <c r="AD100" s="67"/>
      <c r="AE100" s="67">
        <f t="shared" si="22"/>
        <v>0</v>
      </c>
    </row>
    <row r="101" spans="1:38" s="36" customFormat="1" ht="24.75" customHeight="1" x14ac:dyDescent="0.25">
      <c r="A101" s="81" t="s">
        <v>274</v>
      </c>
      <c r="B101" s="82" t="s">
        <v>670</v>
      </c>
      <c r="C101" s="67">
        <f>D101+E101+I101+J101+K101</f>
        <v>125842</v>
      </c>
      <c r="D101" s="68"/>
      <c r="E101" s="68"/>
      <c r="F101" s="68"/>
      <c r="G101" s="68"/>
      <c r="H101" s="68"/>
      <c r="I101" s="68"/>
      <c r="J101" s="68"/>
      <c r="K101" s="67">
        <f t="shared" si="18"/>
        <v>125842</v>
      </c>
      <c r="L101" s="68">
        <v>84492</v>
      </c>
      <c r="M101" s="68">
        <v>41350</v>
      </c>
      <c r="N101" s="67">
        <f t="shared" ref="N101:N102" si="35">O101+P101+S101+T101+U101+X101</f>
        <v>0</v>
      </c>
      <c r="O101" s="68"/>
      <c r="P101" s="68">
        <f t="shared" si="32"/>
        <v>0</v>
      </c>
      <c r="Q101" s="68"/>
      <c r="R101" s="68"/>
      <c r="S101" s="68"/>
      <c r="T101" s="68"/>
      <c r="U101" s="67">
        <f t="shared" si="33"/>
        <v>0</v>
      </c>
      <c r="V101" s="68"/>
      <c r="W101" s="68"/>
      <c r="X101" s="67">
        <f t="shared" si="34"/>
        <v>0</v>
      </c>
      <c r="Y101" s="67"/>
      <c r="Z101" s="67"/>
      <c r="AA101" s="67"/>
      <c r="AB101" s="67">
        <f t="shared" si="30"/>
        <v>0</v>
      </c>
      <c r="AC101" s="67"/>
      <c r="AD101" s="67"/>
      <c r="AE101" s="67">
        <f t="shared" si="22"/>
        <v>0</v>
      </c>
    </row>
    <row r="102" spans="1:38" s="16" customFormat="1" ht="24.75" customHeight="1" x14ac:dyDescent="0.25">
      <c r="A102" s="81" t="s">
        <v>276</v>
      </c>
      <c r="B102" s="82" t="s">
        <v>149</v>
      </c>
      <c r="C102" s="67">
        <f t="shared" si="19"/>
        <v>142581</v>
      </c>
      <c r="D102" s="68">
        <v>28500</v>
      </c>
      <c r="E102" s="68"/>
      <c r="F102" s="68"/>
      <c r="G102" s="68"/>
      <c r="H102" s="68"/>
      <c r="I102" s="68"/>
      <c r="J102" s="68"/>
      <c r="K102" s="67">
        <f t="shared" si="18"/>
        <v>114081</v>
      </c>
      <c r="L102" s="68">
        <v>75361</v>
      </c>
      <c r="M102" s="68">
        <v>38720</v>
      </c>
      <c r="N102" s="67">
        <f t="shared" si="35"/>
        <v>36032.49</v>
      </c>
      <c r="O102" s="68">
        <v>36032.49</v>
      </c>
      <c r="P102" s="68">
        <f t="shared" si="32"/>
        <v>0</v>
      </c>
      <c r="Q102" s="68"/>
      <c r="R102" s="68"/>
      <c r="S102" s="68"/>
      <c r="T102" s="68"/>
      <c r="U102" s="67">
        <f t="shared" si="33"/>
        <v>0</v>
      </c>
      <c r="V102" s="68"/>
      <c r="W102" s="68"/>
      <c r="X102" s="67">
        <f t="shared" si="34"/>
        <v>0</v>
      </c>
      <c r="Y102" s="67"/>
      <c r="Z102" s="67"/>
      <c r="AA102" s="67"/>
      <c r="AB102" s="67">
        <f t="shared" si="30"/>
        <v>25.271592989248216</v>
      </c>
      <c r="AC102" s="67">
        <f t="shared" si="30"/>
        <v>126.42978947368421</v>
      </c>
      <c r="AD102" s="67"/>
      <c r="AE102" s="67">
        <f t="shared" si="22"/>
        <v>0</v>
      </c>
    </row>
    <row r="103" spans="1:38" s="16" customFormat="1" ht="24.75" customHeight="1" x14ac:dyDescent="0.25">
      <c r="A103" s="300">
        <v>11</v>
      </c>
      <c r="B103" s="82" t="s">
        <v>375</v>
      </c>
      <c r="C103" s="67">
        <f t="shared" si="19"/>
        <v>601.91700000000003</v>
      </c>
      <c r="D103" s="68">
        <v>601.91700000000003</v>
      </c>
      <c r="E103" s="68"/>
      <c r="F103" s="68"/>
      <c r="G103" s="68"/>
      <c r="H103" s="68"/>
      <c r="I103" s="68"/>
      <c r="J103" s="68"/>
      <c r="K103" s="67">
        <f t="shared" si="18"/>
        <v>0</v>
      </c>
      <c r="L103" s="68"/>
      <c r="M103" s="68"/>
      <c r="N103" s="67"/>
      <c r="O103" s="68"/>
      <c r="P103" s="68">
        <f t="shared" si="32"/>
        <v>0</v>
      </c>
      <c r="Q103" s="68"/>
      <c r="R103" s="68"/>
      <c r="S103" s="68"/>
      <c r="T103" s="68"/>
      <c r="U103" s="67"/>
      <c r="V103" s="68"/>
      <c r="W103" s="68"/>
      <c r="X103" s="67"/>
      <c r="Y103" s="67"/>
      <c r="Z103" s="67"/>
      <c r="AA103" s="67"/>
      <c r="AB103" s="67"/>
      <c r="AC103" s="67"/>
      <c r="AD103" s="67"/>
      <c r="AE103" s="67"/>
    </row>
    <row r="104" spans="1:38" s="16" customFormat="1" ht="24.75" customHeight="1" x14ac:dyDescent="0.25">
      <c r="A104" s="81" t="s">
        <v>25</v>
      </c>
      <c r="B104" s="83" t="s">
        <v>376</v>
      </c>
      <c r="C104" s="61">
        <f>D104+E104+I104+J104+K104</f>
        <v>65250.86</v>
      </c>
      <c r="D104" s="84"/>
      <c r="E104" s="84">
        <f>E105+E106+E107</f>
        <v>65250.86</v>
      </c>
      <c r="F104" s="84">
        <f>F105+F106+F107</f>
        <v>65250.86</v>
      </c>
      <c r="G104" s="84"/>
      <c r="H104" s="84"/>
      <c r="I104" s="84"/>
      <c r="J104" s="84"/>
      <c r="K104" s="61"/>
      <c r="L104" s="84"/>
      <c r="M104" s="84"/>
      <c r="N104" s="61">
        <f>N105+N106+N107</f>
        <v>0</v>
      </c>
      <c r="O104" s="61">
        <f t="shared" ref="O104:AB104" si="36">O105+O106+O107</f>
        <v>0</v>
      </c>
      <c r="P104" s="61">
        <f t="shared" si="36"/>
        <v>0</v>
      </c>
      <c r="Q104" s="61">
        <f t="shared" si="36"/>
        <v>0</v>
      </c>
      <c r="R104" s="61">
        <f t="shared" si="36"/>
        <v>0</v>
      </c>
      <c r="S104" s="61">
        <f t="shared" si="36"/>
        <v>0</v>
      </c>
      <c r="T104" s="61">
        <f t="shared" si="36"/>
        <v>0</v>
      </c>
      <c r="U104" s="61">
        <f t="shared" si="36"/>
        <v>0</v>
      </c>
      <c r="V104" s="61">
        <f t="shared" si="36"/>
        <v>0</v>
      </c>
      <c r="W104" s="61">
        <f t="shared" si="36"/>
        <v>0</v>
      </c>
      <c r="X104" s="61">
        <f t="shared" si="36"/>
        <v>0</v>
      </c>
      <c r="Y104" s="61">
        <f t="shared" si="36"/>
        <v>0</v>
      </c>
      <c r="Z104" s="61">
        <f t="shared" si="36"/>
        <v>0</v>
      </c>
      <c r="AA104" s="61">
        <f t="shared" si="36"/>
        <v>0</v>
      </c>
      <c r="AB104" s="61">
        <f t="shared" si="36"/>
        <v>0</v>
      </c>
      <c r="AC104" s="67"/>
      <c r="AD104" s="67">
        <f t="shared" si="16"/>
        <v>0</v>
      </c>
      <c r="AE104" s="67"/>
    </row>
    <row r="105" spans="1:38" s="16" customFormat="1" ht="24.75" customHeight="1" x14ac:dyDescent="0.25">
      <c r="A105" s="81" t="s">
        <v>259</v>
      </c>
      <c r="B105" s="82" t="s">
        <v>377</v>
      </c>
      <c r="C105" s="67">
        <f>D105+E105+I105+J105+K105</f>
        <v>8000</v>
      </c>
      <c r="D105" s="68"/>
      <c r="E105" s="68">
        <f>F105+G105+H105</f>
        <v>8000</v>
      </c>
      <c r="F105" s="68">
        <v>8000</v>
      </c>
      <c r="G105" s="84"/>
      <c r="H105" s="84"/>
      <c r="I105" s="84"/>
      <c r="J105" s="84"/>
      <c r="K105" s="61"/>
      <c r="L105" s="84"/>
      <c r="M105" s="84"/>
      <c r="N105" s="61"/>
      <c r="O105" s="84"/>
      <c r="P105" s="84">
        <f t="shared" si="32"/>
        <v>0</v>
      </c>
      <c r="Q105" s="84"/>
      <c r="R105" s="84"/>
      <c r="S105" s="84"/>
      <c r="T105" s="84"/>
      <c r="U105" s="61"/>
      <c r="V105" s="84"/>
      <c r="W105" s="84"/>
      <c r="X105" s="61"/>
      <c r="Y105" s="61"/>
      <c r="Z105" s="61"/>
      <c r="AA105" s="61"/>
      <c r="AB105" s="67"/>
      <c r="AC105" s="67"/>
      <c r="AD105" s="67">
        <f t="shared" si="16"/>
        <v>0</v>
      </c>
      <c r="AE105" s="67"/>
    </row>
    <row r="106" spans="1:38" s="16" customFormat="1" ht="24.75" customHeight="1" x14ac:dyDescent="0.25">
      <c r="A106" s="81" t="s">
        <v>261</v>
      </c>
      <c r="B106" s="82" t="s">
        <v>378</v>
      </c>
      <c r="C106" s="67">
        <f t="shared" ref="C106:C107" si="37">D106+E106+I106+J106+K106</f>
        <v>7000</v>
      </c>
      <c r="D106" s="68"/>
      <c r="E106" s="68">
        <f t="shared" ref="E106:E107" si="38">F106+G106+H106</f>
        <v>7000</v>
      </c>
      <c r="F106" s="68">
        <v>7000</v>
      </c>
      <c r="G106" s="84"/>
      <c r="H106" s="84"/>
      <c r="I106" s="84"/>
      <c r="J106" s="84"/>
      <c r="K106" s="61"/>
      <c r="L106" s="84"/>
      <c r="M106" s="84"/>
      <c r="N106" s="61"/>
      <c r="O106" s="84"/>
      <c r="P106" s="84">
        <f t="shared" si="32"/>
        <v>0</v>
      </c>
      <c r="Q106" s="84"/>
      <c r="R106" s="84"/>
      <c r="S106" s="84"/>
      <c r="T106" s="84"/>
      <c r="U106" s="61"/>
      <c r="V106" s="84"/>
      <c r="W106" s="84"/>
      <c r="X106" s="61"/>
      <c r="Y106" s="61"/>
      <c r="Z106" s="61"/>
      <c r="AA106" s="61"/>
      <c r="AB106" s="67"/>
      <c r="AC106" s="67"/>
      <c r="AD106" s="67">
        <f t="shared" si="16"/>
        <v>0</v>
      </c>
      <c r="AE106" s="67"/>
    </row>
    <row r="107" spans="1:38" s="16" customFormat="1" ht="24.75" customHeight="1" x14ac:dyDescent="0.25">
      <c r="A107" s="81" t="s">
        <v>263</v>
      </c>
      <c r="B107" s="82" t="s">
        <v>379</v>
      </c>
      <c r="C107" s="67">
        <f t="shared" si="37"/>
        <v>50250.86</v>
      </c>
      <c r="D107" s="68"/>
      <c r="E107" s="68">
        <f t="shared" si="38"/>
        <v>50250.86</v>
      </c>
      <c r="F107" s="68">
        <v>50250.86</v>
      </c>
      <c r="G107" s="84"/>
      <c r="H107" s="84"/>
      <c r="I107" s="84"/>
      <c r="J107" s="84"/>
      <c r="K107" s="61"/>
      <c r="L107" s="84"/>
      <c r="M107" s="84"/>
      <c r="N107" s="61"/>
      <c r="O107" s="84"/>
      <c r="P107" s="84">
        <f t="shared" si="32"/>
        <v>0</v>
      </c>
      <c r="Q107" s="84"/>
      <c r="R107" s="84"/>
      <c r="S107" s="84"/>
      <c r="T107" s="84"/>
      <c r="U107" s="61"/>
      <c r="V107" s="84"/>
      <c r="W107" s="84"/>
      <c r="X107" s="61"/>
      <c r="Y107" s="61"/>
      <c r="Z107" s="61"/>
      <c r="AA107" s="61"/>
      <c r="AB107" s="67"/>
      <c r="AC107" s="67"/>
      <c r="AD107" s="67">
        <f t="shared" si="16"/>
        <v>0</v>
      </c>
      <c r="AE107" s="67"/>
    </row>
    <row r="108" spans="1:38" s="16" customFormat="1" ht="70.5" customHeight="1" x14ac:dyDescent="0.25">
      <c r="A108" s="85" t="s">
        <v>29</v>
      </c>
      <c r="B108" s="86" t="s">
        <v>542</v>
      </c>
      <c r="C108" s="61">
        <f t="shared" si="19"/>
        <v>2200</v>
      </c>
      <c r="D108" s="84"/>
      <c r="E108" s="84"/>
      <c r="F108" s="84"/>
      <c r="G108" s="84"/>
      <c r="H108" s="84"/>
      <c r="I108" s="84">
        <v>2200</v>
      </c>
      <c r="J108" s="84"/>
      <c r="K108" s="61">
        <f t="shared" si="18"/>
        <v>0</v>
      </c>
      <c r="L108" s="84"/>
      <c r="M108" s="84"/>
      <c r="N108" s="61">
        <f>O108+P108+S108+T108+U108+X108</f>
        <v>10232.433849999999</v>
      </c>
      <c r="O108" s="84"/>
      <c r="P108" s="84">
        <f>Q108+R108</f>
        <v>0</v>
      </c>
      <c r="Q108" s="84"/>
      <c r="R108" s="84"/>
      <c r="S108" s="84">
        <f>'[1]bieu 53'!G25+'[1]bieu 53'!G29</f>
        <v>10232.433849999999</v>
      </c>
      <c r="T108" s="84"/>
      <c r="U108" s="61">
        <f t="shared" ref="U108:U116" si="39">V108+W108</f>
        <v>0</v>
      </c>
      <c r="V108" s="84"/>
      <c r="W108" s="84"/>
      <c r="X108" s="61">
        <f>Y108+Z108</f>
        <v>0</v>
      </c>
      <c r="Y108" s="84"/>
      <c r="Z108" s="84"/>
      <c r="AA108" s="84"/>
      <c r="AB108" s="67">
        <f t="shared" si="30"/>
        <v>465.11062954545451</v>
      </c>
      <c r="AC108" s="67"/>
      <c r="AD108" s="67"/>
      <c r="AE108" s="67"/>
    </row>
    <row r="109" spans="1:38" s="36" customFormat="1" x14ac:dyDescent="0.25">
      <c r="A109" s="85" t="s">
        <v>56</v>
      </c>
      <c r="B109" s="86" t="s">
        <v>380</v>
      </c>
      <c r="C109" s="61">
        <f t="shared" si="19"/>
        <v>1000</v>
      </c>
      <c r="D109" s="84"/>
      <c r="E109" s="84"/>
      <c r="F109" s="84"/>
      <c r="G109" s="84"/>
      <c r="H109" s="84"/>
      <c r="I109" s="84"/>
      <c r="J109" s="61">
        <v>1000</v>
      </c>
      <c r="K109" s="61">
        <f t="shared" si="18"/>
        <v>0</v>
      </c>
      <c r="L109" s="84"/>
      <c r="M109" s="84"/>
      <c r="N109" s="61">
        <f t="shared" ref="N109:N115" si="40">O109+P109+S109+T109+U109+X109</f>
        <v>1000</v>
      </c>
      <c r="O109" s="84"/>
      <c r="P109" s="84">
        <f>Q109+R109</f>
        <v>1000</v>
      </c>
      <c r="Q109" s="84"/>
      <c r="R109" s="84">
        <v>1000</v>
      </c>
      <c r="S109" s="84"/>
      <c r="T109" s="84"/>
      <c r="U109" s="61">
        <f t="shared" si="39"/>
        <v>0</v>
      </c>
      <c r="V109" s="84"/>
      <c r="W109" s="84"/>
      <c r="X109" s="61">
        <f>Y109+Z109</f>
        <v>0</v>
      </c>
      <c r="Y109" s="84"/>
      <c r="Z109" s="84"/>
      <c r="AA109" s="84"/>
      <c r="AB109" s="67">
        <f t="shared" si="30"/>
        <v>100</v>
      </c>
      <c r="AC109" s="67"/>
      <c r="AD109" s="67"/>
      <c r="AE109" s="67"/>
    </row>
    <row r="110" spans="1:38" s="36" customFormat="1" ht="33.75" customHeight="1" x14ac:dyDescent="0.25">
      <c r="A110" s="85" t="s">
        <v>73</v>
      </c>
      <c r="B110" s="86" t="s">
        <v>381</v>
      </c>
      <c r="C110" s="61">
        <f>D110+J110+I110+E110+K110</f>
        <v>74046.002868228534</v>
      </c>
      <c r="D110" s="84"/>
      <c r="F110" s="84"/>
      <c r="G110" s="84"/>
      <c r="H110" s="84"/>
      <c r="I110" s="84"/>
      <c r="J110" s="84">
        <v>74046.002868228534</v>
      </c>
      <c r="K110" s="61">
        <f t="shared" si="18"/>
        <v>0</v>
      </c>
      <c r="L110" s="84"/>
      <c r="M110" s="84"/>
      <c r="N110" s="61">
        <f t="shared" si="40"/>
        <v>0</v>
      </c>
      <c r="O110" s="84"/>
      <c r="P110" s="84">
        <f t="shared" ref="P110:P116" si="41">Q110+R110</f>
        <v>0</v>
      </c>
      <c r="Q110" s="84"/>
      <c r="R110" s="84"/>
      <c r="S110" s="84"/>
      <c r="T110" s="84"/>
      <c r="U110" s="61">
        <f t="shared" si="39"/>
        <v>0</v>
      </c>
      <c r="V110" s="84"/>
      <c r="W110" s="84"/>
      <c r="X110" s="61">
        <f>Y110+Z110</f>
        <v>0</v>
      </c>
      <c r="Y110" s="84"/>
      <c r="Z110" s="84"/>
      <c r="AA110" s="84"/>
      <c r="AB110" s="67">
        <f t="shared" si="30"/>
        <v>0</v>
      </c>
      <c r="AC110" s="67"/>
      <c r="AD110" s="67"/>
      <c r="AE110" s="67"/>
    </row>
    <row r="111" spans="1:38" s="36" customFormat="1" ht="34.5" customHeight="1" x14ac:dyDescent="0.25">
      <c r="A111" s="85" t="s">
        <v>74</v>
      </c>
      <c r="B111" s="86" t="s">
        <v>388</v>
      </c>
      <c r="C111" s="61">
        <f t="shared" ref="C111:C116" si="42">D111+J111+I111+E111+K111</f>
        <v>77200</v>
      </c>
      <c r="D111" s="84"/>
      <c r="F111" s="84"/>
      <c r="G111" s="84"/>
      <c r="H111" s="84"/>
      <c r="I111" s="84"/>
      <c r="J111" s="84">
        <v>77200</v>
      </c>
      <c r="K111" s="61">
        <f t="shared" si="18"/>
        <v>0</v>
      </c>
      <c r="L111" s="84"/>
      <c r="M111" s="84"/>
      <c r="N111" s="61">
        <f t="shared" si="40"/>
        <v>12206.46313</v>
      </c>
      <c r="O111" s="84">
        <v>12206.46313</v>
      </c>
      <c r="P111" s="84">
        <f t="shared" si="41"/>
        <v>0</v>
      </c>
      <c r="Q111" s="84"/>
      <c r="R111" s="84"/>
      <c r="S111" s="84"/>
      <c r="T111" s="84"/>
      <c r="U111" s="61">
        <f t="shared" si="39"/>
        <v>0</v>
      </c>
      <c r="V111" s="84"/>
      <c r="W111" s="84"/>
      <c r="X111" s="61">
        <f t="shared" ref="X111:X112" si="43">Y111+Z111</f>
        <v>0</v>
      </c>
      <c r="Y111" s="84"/>
      <c r="Z111" s="84"/>
      <c r="AA111" s="84"/>
      <c r="AB111" s="67">
        <f t="shared" si="30"/>
        <v>15.811480738341968</v>
      </c>
      <c r="AC111" s="67"/>
      <c r="AD111" s="67"/>
      <c r="AE111" s="67"/>
      <c r="AI111" s="26"/>
      <c r="AJ111" s="26"/>
      <c r="AK111" s="26"/>
      <c r="AL111" s="26"/>
    </row>
    <row r="112" spans="1:38" s="36" customFormat="1" ht="37.5" customHeight="1" x14ac:dyDescent="0.25">
      <c r="A112" s="85" t="s">
        <v>383</v>
      </c>
      <c r="B112" s="86" t="s">
        <v>600</v>
      </c>
      <c r="C112" s="61">
        <f t="shared" si="42"/>
        <v>1178860</v>
      </c>
      <c r="D112" s="84"/>
      <c r="F112" s="84"/>
      <c r="G112" s="84"/>
      <c r="H112" s="84"/>
      <c r="I112" s="84"/>
      <c r="J112" s="84">
        <v>1178860</v>
      </c>
      <c r="K112" s="61">
        <f t="shared" si="18"/>
        <v>0</v>
      </c>
      <c r="L112" s="84"/>
      <c r="M112" s="84"/>
      <c r="N112" s="61">
        <f t="shared" si="40"/>
        <v>109404.806157</v>
      </c>
      <c r="O112" s="84">
        <v>109404.806157</v>
      </c>
      <c r="P112" s="84">
        <f t="shared" si="41"/>
        <v>0</v>
      </c>
      <c r="Q112" s="84"/>
      <c r="R112" s="84"/>
      <c r="S112" s="84"/>
      <c r="T112" s="84"/>
      <c r="U112" s="61">
        <f t="shared" si="39"/>
        <v>0</v>
      </c>
      <c r="V112" s="84"/>
      <c r="W112" s="84"/>
      <c r="X112" s="61">
        <f t="shared" si="43"/>
        <v>0</v>
      </c>
      <c r="Y112" s="84"/>
      <c r="Z112" s="84"/>
      <c r="AA112" s="84"/>
      <c r="AB112" s="67">
        <f t="shared" si="30"/>
        <v>9.2805597065809344</v>
      </c>
      <c r="AC112" s="67"/>
      <c r="AD112" s="67"/>
      <c r="AE112" s="67"/>
      <c r="AI112" s="26"/>
      <c r="AJ112" s="26"/>
      <c r="AK112" s="26"/>
      <c r="AL112" s="26"/>
    </row>
    <row r="113" spans="1:38" s="36" customFormat="1" ht="39.75" customHeight="1" x14ac:dyDescent="0.25">
      <c r="A113" s="85" t="s">
        <v>384</v>
      </c>
      <c r="B113" s="86" t="s">
        <v>544</v>
      </c>
      <c r="C113" s="61">
        <f t="shared" si="42"/>
        <v>0</v>
      </c>
      <c r="D113" s="84"/>
      <c r="F113" s="84"/>
      <c r="G113" s="84"/>
      <c r="H113" s="84"/>
      <c r="I113" s="84"/>
      <c r="J113" s="84"/>
      <c r="K113" s="61"/>
      <c r="L113" s="84"/>
      <c r="M113" s="84"/>
      <c r="N113" s="61">
        <f t="shared" si="40"/>
        <v>23104</v>
      </c>
      <c r="O113" s="84"/>
      <c r="P113" s="84">
        <f t="shared" si="41"/>
        <v>23104</v>
      </c>
      <c r="Q113" s="84"/>
      <c r="R113" s="84">
        <v>23104</v>
      </c>
      <c r="S113" s="84"/>
      <c r="T113" s="84"/>
      <c r="U113" s="61"/>
      <c r="V113" s="84"/>
      <c r="W113" s="84"/>
      <c r="X113" s="61"/>
      <c r="Y113" s="84"/>
      <c r="Z113" s="84"/>
      <c r="AA113" s="84"/>
      <c r="AB113" s="67"/>
      <c r="AC113" s="67"/>
      <c r="AD113" s="67"/>
      <c r="AE113" s="67"/>
      <c r="AI113" s="26"/>
      <c r="AJ113" s="26"/>
      <c r="AK113" s="26"/>
      <c r="AL113" s="26"/>
    </row>
    <row r="114" spans="1:38" s="36" customFormat="1" ht="39.75" customHeight="1" x14ac:dyDescent="0.25">
      <c r="A114" s="87" t="s">
        <v>509</v>
      </c>
      <c r="B114" s="86" t="s">
        <v>671</v>
      </c>
      <c r="C114" s="61">
        <f t="shared" si="42"/>
        <v>0</v>
      </c>
      <c r="D114" s="84"/>
      <c r="E114" s="84"/>
      <c r="F114" s="84"/>
      <c r="G114" s="84"/>
      <c r="H114" s="84"/>
      <c r="I114" s="84"/>
      <c r="J114" s="61"/>
      <c r="K114" s="61">
        <f t="shared" si="18"/>
        <v>0</v>
      </c>
      <c r="L114" s="84"/>
      <c r="M114" s="84"/>
      <c r="N114" s="61">
        <f t="shared" si="40"/>
        <v>3815518.1447020001</v>
      </c>
      <c r="O114" s="84"/>
      <c r="P114" s="84">
        <f t="shared" si="41"/>
        <v>0</v>
      </c>
      <c r="Q114" s="84"/>
      <c r="R114" s="84"/>
      <c r="S114" s="84"/>
      <c r="T114" s="84">
        <v>3815518.1447020001</v>
      </c>
      <c r="U114" s="61">
        <f t="shared" si="39"/>
        <v>0</v>
      </c>
      <c r="V114" s="84"/>
      <c r="W114" s="84"/>
      <c r="X114" s="61"/>
      <c r="Y114" s="84"/>
      <c r="Z114" s="84"/>
      <c r="AA114" s="84"/>
      <c r="AB114" s="67"/>
      <c r="AC114" s="67"/>
      <c r="AD114" s="67"/>
      <c r="AE114" s="67"/>
      <c r="AI114" s="26"/>
      <c r="AJ114" s="26"/>
      <c r="AK114" s="26"/>
      <c r="AL114" s="26"/>
    </row>
    <row r="115" spans="1:38" s="26" customFormat="1" ht="31.5" x14ac:dyDescent="0.25">
      <c r="A115" s="87" t="s">
        <v>545</v>
      </c>
      <c r="B115" s="88" t="s">
        <v>102</v>
      </c>
      <c r="C115" s="61">
        <f t="shared" si="42"/>
        <v>0</v>
      </c>
      <c r="D115" s="90"/>
      <c r="E115" s="90"/>
      <c r="F115" s="90"/>
      <c r="G115" s="90"/>
      <c r="H115" s="90"/>
      <c r="I115" s="90"/>
      <c r="J115" s="90"/>
      <c r="K115" s="89">
        <f t="shared" si="18"/>
        <v>0</v>
      </c>
      <c r="L115" s="90"/>
      <c r="M115" s="90"/>
      <c r="N115" s="61">
        <f t="shared" si="40"/>
        <v>2859544.5055379998</v>
      </c>
      <c r="O115" s="90"/>
      <c r="P115" s="90">
        <f t="shared" si="41"/>
        <v>0</v>
      </c>
      <c r="Q115" s="90"/>
      <c r="R115" s="90"/>
      <c r="S115" s="90"/>
      <c r="T115" s="90"/>
      <c r="U115" s="89">
        <f t="shared" si="39"/>
        <v>0</v>
      </c>
      <c r="V115" s="90"/>
      <c r="W115" s="90"/>
      <c r="X115" s="90">
        <f>'[1]bieu 53'!G65</f>
        <v>2859544.5055379998</v>
      </c>
      <c r="Y115" s="90"/>
      <c r="Z115" s="90"/>
      <c r="AA115" s="90"/>
      <c r="AB115" s="67"/>
      <c r="AC115" s="67"/>
      <c r="AD115" s="67"/>
      <c r="AE115" s="67"/>
      <c r="AF115" s="212"/>
    </row>
    <row r="116" spans="1:38" s="26" customFormat="1" ht="31.5" customHeight="1" x14ac:dyDescent="0.25">
      <c r="A116" s="91" t="s">
        <v>672</v>
      </c>
      <c r="B116" s="92" t="s">
        <v>226</v>
      </c>
      <c r="C116" s="93">
        <f t="shared" si="42"/>
        <v>0</v>
      </c>
      <c r="D116" s="94"/>
      <c r="E116" s="94"/>
      <c r="F116" s="94"/>
      <c r="G116" s="94"/>
      <c r="H116" s="94"/>
      <c r="I116" s="94"/>
      <c r="J116" s="94"/>
      <c r="K116" s="93">
        <f t="shared" si="18"/>
        <v>0</v>
      </c>
      <c r="L116" s="94"/>
      <c r="M116" s="94"/>
      <c r="N116" s="93">
        <f>O116+P116+S116+T116+U116+X116+AA116</f>
        <v>122849.305433</v>
      </c>
      <c r="O116" s="94"/>
      <c r="P116" s="94">
        <f t="shared" si="41"/>
        <v>0</v>
      </c>
      <c r="Q116" s="94"/>
      <c r="R116" s="94"/>
      <c r="S116" s="94"/>
      <c r="T116" s="94"/>
      <c r="U116" s="93">
        <f t="shared" si="39"/>
        <v>0</v>
      </c>
      <c r="V116" s="94"/>
      <c r="W116" s="94"/>
      <c r="X116" s="94"/>
      <c r="Y116" s="94"/>
      <c r="Z116" s="94"/>
      <c r="AA116" s="94">
        <f>'[1]bieu 53'!G66</f>
        <v>122849.305433</v>
      </c>
      <c r="AB116" s="299"/>
      <c r="AC116" s="299"/>
      <c r="AD116" s="299"/>
      <c r="AE116" s="299"/>
      <c r="AF116" s="212"/>
    </row>
  </sheetData>
  <sortState xmlns:xlrd2="http://schemas.microsoft.com/office/spreadsheetml/2017/richdata2" ref="A34:AD251">
    <sortCondition ref="B34:B251"/>
  </sortState>
  <mergeCells count="32">
    <mergeCell ref="AC1:AE1"/>
    <mergeCell ref="AB9:AB10"/>
    <mergeCell ref="AC9:AC10"/>
    <mergeCell ref="AD9:AD10"/>
    <mergeCell ref="AE9:AE10"/>
    <mergeCell ref="A4:AE4"/>
    <mergeCell ref="AB7:AC7"/>
    <mergeCell ref="AD7:AE7"/>
    <mergeCell ref="A8:A10"/>
    <mergeCell ref="C9:C10"/>
    <mergeCell ref="D9:D10"/>
    <mergeCell ref="E9:E10"/>
    <mergeCell ref="T9:T10"/>
    <mergeCell ref="U9:W9"/>
    <mergeCell ref="X9:X10"/>
    <mergeCell ref="Y9:Z9"/>
    <mergeCell ref="N8:X8"/>
    <mergeCell ref="A3:AE3"/>
    <mergeCell ref="C8:M8"/>
    <mergeCell ref="AB8:AE8"/>
    <mergeCell ref="K9:M9"/>
    <mergeCell ref="J9:J10"/>
    <mergeCell ref="G9:H9"/>
    <mergeCell ref="F9:F10"/>
    <mergeCell ref="B8:B10"/>
    <mergeCell ref="I9:I10"/>
    <mergeCell ref="AA9:AA10"/>
    <mergeCell ref="N9:N10"/>
    <mergeCell ref="O9:O10"/>
    <mergeCell ref="P9:P10"/>
    <mergeCell ref="Q9:R9"/>
    <mergeCell ref="S9:S10"/>
  </mergeCells>
  <phoneticPr fontId="54" type="noConversion"/>
  <dataValidations count="6">
    <dataValidation allowBlank="1" showInputMessage="1" showErrorMessage="1" prompt="Theo TT 343 BTC các lĩnh vực  Công an tỉnh, Bộ chỉ huy quân sự tỉnh; Bộ chỉ huy biên phòng tỉnh, Ban Chỉ đạo phân giới, cắm mổc tỉnh (Việt nam - Lào), Ban chỉ đạo phân giới, cắm mổc tỉnh (Viêt nam - Cam Pu Chia) không công khai QT" sqref="C65384 IY65384 SU65384 ACQ65384 AMM65384 AWI65384 BGE65384 BQA65384 BZW65384 CJS65384 CTO65384 DDK65384 DNG65384 DXC65384 EGY65384 EQU65384 FAQ65384 FKM65384 FUI65384 GEE65384 GOA65384 GXW65384 HHS65384 HRO65384 IBK65384 ILG65384 IVC65384 JEY65384 JOU65384 JYQ65384 KIM65384 KSI65384 LCE65384 LMA65384 LVW65384 MFS65384 MPO65384 MZK65384 NJG65384 NTC65384 OCY65384 OMU65384 OWQ65384 PGM65384 PQI65384 QAE65384 QKA65384 QTW65384 RDS65384 RNO65384 RXK65384 SHG65384 SRC65384 TAY65384 TKU65384 TUQ65384 UEM65384 UOI65384 UYE65384 VIA65384 VRW65384 WBS65384 WLO65384 WVK65384 C130920 IY130920 SU130920 ACQ130920 AMM130920 AWI130920 BGE130920 BQA130920 BZW130920 CJS130920 CTO130920 DDK130920 DNG130920 DXC130920 EGY130920 EQU130920 FAQ130920 FKM130920 FUI130920 GEE130920 GOA130920 GXW130920 HHS130920 HRO130920 IBK130920 ILG130920 IVC130920 JEY130920 JOU130920 JYQ130920 KIM130920 KSI130920 LCE130920 LMA130920 LVW130920 MFS130920 MPO130920 MZK130920 NJG130920 NTC130920 OCY130920 OMU130920 OWQ130920 PGM130920 PQI130920 QAE130920 QKA130920 QTW130920 RDS130920 RNO130920 RXK130920 SHG130920 SRC130920 TAY130920 TKU130920 TUQ130920 UEM130920 UOI130920 UYE130920 VIA130920 VRW130920 WBS130920 WLO130920 WVK130920 C196456 IY196456 SU196456 ACQ196456 AMM196456 AWI196456 BGE196456 BQA196456 BZW196456 CJS196456 CTO196456 DDK196456 DNG196456 DXC196456 EGY196456 EQU196456 FAQ196456 FKM196456 FUI196456 GEE196456 GOA196456 GXW196456 HHS196456 HRO196456 IBK196456 ILG196456 IVC196456 JEY196456 JOU196456 JYQ196456 KIM196456 KSI196456 LCE196456 LMA196456 LVW196456 MFS196456 MPO196456 MZK196456 NJG196456 NTC196456 OCY196456 OMU196456 OWQ196456 PGM196456 PQI196456 QAE196456 QKA196456 QTW196456 RDS196456 RNO196456 RXK196456 SHG196456 SRC196456 TAY196456 TKU196456 TUQ196456 UEM196456 UOI196456 UYE196456 VIA196456 VRW196456 WBS196456 WLO196456 WVK196456 C261992 IY261992 SU261992 ACQ261992 AMM261992 AWI261992 BGE261992 BQA261992 BZW261992 CJS261992 CTO261992 DDK261992 DNG261992 DXC261992 EGY261992 EQU261992 FAQ261992 FKM261992 FUI261992 GEE261992 GOA261992 GXW261992 HHS261992 HRO261992 IBK261992 ILG261992 IVC261992 JEY261992 JOU261992 JYQ261992 KIM261992 KSI261992 LCE261992 LMA261992 LVW261992 MFS261992 MPO261992 MZK261992 NJG261992 NTC261992 OCY261992 OMU261992 OWQ261992 PGM261992 PQI261992 QAE261992 QKA261992 QTW261992 RDS261992 RNO261992 RXK261992 SHG261992 SRC261992 TAY261992 TKU261992 TUQ261992 UEM261992 UOI261992 UYE261992 VIA261992 VRW261992 WBS261992 WLO261992 WVK261992 C327528 IY327528 SU327528 ACQ327528 AMM327528 AWI327528 BGE327528 BQA327528 BZW327528 CJS327528 CTO327528 DDK327528 DNG327528 DXC327528 EGY327528 EQU327528 FAQ327528 FKM327528 FUI327528 GEE327528 GOA327528 GXW327528 HHS327528 HRO327528 IBK327528 ILG327528 IVC327528 JEY327528 JOU327528 JYQ327528 KIM327528 KSI327528 LCE327528 LMA327528 LVW327528 MFS327528 MPO327528 MZK327528 NJG327528 NTC327528 OCY327528 OMU327528 OWQ327528 PGM327528 PQI327528 QAE327528 QKA327528 QTW327528 RDS327528 RNO327528 RXK327528 SHG327528 SRC327528 TAY327528 TKU327528 TUQ327528 UEM327528 UOI327528 UYE327528 VIA327528 VRW327528 WBS327528 WLO327528 WVK327528 C393064 IY393064 SU393064 ACQ393064 AMM393064 AWI393064 BGE393064 BQA393064 BZW393064 CJS393064 CTO393064 DDK393064 DNG393064 DXC393064 EGY393064 EQU393064 FAQ393064 FKM393064 FUI393064 GEE393064 GOA393064 GXW393064 HHS393064 HRO393064 IBK393064 ILG393064 IVC393064 JEY393064 JOU393064 JYQ393064 KIM393064 KSI393064 LCE393064 LMA393064 LVW393064 MFS393064 MPO393064 MZK393064 NJG393064 NTC393064 OCY393064 OMU393064 OWQ393064 PGM393064 PQI393064 QAE393064 QKA393064 QTW393064 RDS393064 RNO393064 RXK393064 SHG393064 SRC393064 TAY393064 TKU393064 TUQ393064 UEM393064 UOI393064 UYE393064 VIA393064 VRW393064 WBS393064 WLO393064 WVK393064 C458600 IY458600 SU458600 ACQ458600 AMM458600 AWI458600 BGE458600 BQA458600 BZW458600 CJS458600 CTO458600 DDK458600 DNG458600 DXC458600 EGY458600 EQU458600 FAQ458600 FKM458600 FUI458600 GEE458600 GOA458600 GXW458600 HHS458600 HRO458600 IBK458600 ILG458600 IVC458600 JEY458600 JOU458600 JYQ458600 KIM458600 KSI458600 LCE458600 LMA458600 LVW458600 MFS458600 MPO458600 MZK458600 NJG458600 NTC458600 OCY458600 OMU458600 OWQ458600 PGM458600 PQI458600 QAE458600 QKA458600 QTW458600 RDS458600 RNO458600 RXK458600 SHG458600 SRC458600 TAY458600 TKU458600 TUQ458600 UEM458600 UOI458600 UYE458600 VIA458600 VRW458600 WBS458600 WLO458600 WVK458600 C524136 IY524136 SU524136 ACQ524136 AMM524136 AWI524136 BGE524136 BQA524136 BZW524136 CJS524136 CTO524136 DDK524136 DNG524136 DXC524136 EGY524136 EQU524136 FAQ524136 FKM524136 FUI524136 GEE524136 GOA524136 GXW524136 HHS524136 HRO524136 IBK524136 ILG524136 IVC524136 JEY524136 JOU524136 JYQ524136 KIM524136 KSI524136 LCE524136 LMA524136 LVW524136 MFS524136 MPO524136 MZK524136 NJG524136 NTC524136 OCY524136 OMU524136 OWQ524136 PGM524136 PQI524136 QAE524136 QKA524136 QTW524136 RDS524136 RNO524136 RXK524136 SHG524136 SRC524136 TAY524136 TKU524136 TUQ524136 UEM524136 UOI524136 UYE524136 VIA524136 VRW524136 WBS524136 WLO524136 WVK524136 C589672 IY589672 SU589672 ACQ589672 AMM589672 AWI589672 BGE589672 BQA589672 BZW589672 CJS589672 CTO589672 DDK589672 DNG589672 DXC589672 EGY589672 EQU589672 FAQ589672 FKM589672 FUI589672 GEE589672 GOA589672 GXW589672 HHS589672 HRO589672 IBK589672 ILG589672 IVC589672 JEY589672 JOU589672 JYQ589672 KIM589672 KSI589672 LCE589672 LMA589672 LVW589672 MFS589672 MPO589672 MZK589672 NJG589672 NTC589672 OCY589672 OMU589672 OWQ589672 PGM589672 PQI589672 QAE589672 QKA589672 QTW589672 RDS589672 RNO589672 RXK589672 SHG589672 SRC589672 TAY589672 TKU589672 TUQ589672 UEM589672 UOI589672 UYE589672 VIA589672 VRW589672 WBS589672 WLO589672 WVK589672 C655208 IY655208 SU655208 ACQ655208 AMM655208 AWI655208 BGE655208 BQA655208 BZW655208 CJS655208 CTO655208 DDK655208 DNG655208 DXC655208 EGY655208 EQU655208 FAQ655208 FKM655208 FUI655208 GEE655208 GOA655208 GXW655208 HHS655208 HRO655208 IBK655208 ILG655208 IVC655208 JEY655208 JOU655208 JYQ655208 KIM655208 KSI655208 LCE655208 LMA655208 LVW655208 MFS655208 MPO655208 MZK655208 NJG655208 NTC655208 OCY655208 OMU655208 OWQ655208 PGM655208 PQI655208 QAE655208 QKA655208 QTW655208 RDS655208 RNO655208 RXK655208 SHG655208 SRC655208 TAY655208 TKU655208 TUQ655208 UEM655208 UOI655208 UYE655208 VIA655208 VRW655208 WBS655208 WLO655208 WVK655208 C720744 IY720744 SU720744 ACQ720744 AMM720744 AWI720744 BGE720744 BQA720744 BZW720744 CJS720744 CTO720744 DDK720744 DNG720744 DXC720744 EGY720744 EQU720744 FAQ720744 FKM720744 FUI720744 GEE720744 GOA720744 GXW720744 HHS720744 HRO720744 IBK720744 ILG720744 IVC720744 JEY720744 JOU720744 JYQ720744 KIM720744 KSI720744 LCE720744 LMA720744 LVW720744 MFS720744 MPO720744 MZK720744 NJG720744 NTC720744 OCY720744 OMU720744 OWQ720744 PGM720744 PQI720744 QAE720744 QKA720744 QTW720744 RDS720744 RNO720744 RXK720744 SHG720744 SRC720744 TAY720744 TKU720744 TUQ720744 UEM720744 UOI720744 UYE720744 VIA720744 VRW720744 WBS720744 WLO720744 WVK720744 C786280 IY786280 SU786280 ACQ786280 AMM786280 AWI786280 BGE786280 BQA786280 BZW786280 CJS786280 CTO786280 DDK786280 DNG786280 DXC786280 EGY786280 EQU786280 FAQ786280 FKM786280 FUI786280 GEE786280 GOA786280 GXW786280 HHS786280 HRO786280 IBK786280 ILG786280 IVC786280 JEY786280 JOU786280 JYQ786280 KIM786280 KSI786280 LCE786280 LMA786280 LVW786280 MFS786280 MPO786280 MZK786280 NJG786280 NTC786280 OCY786280 OMU786280 OWQ786280 PGM786280 PQI786280 QAE786280 QKA786280 QTW786280 RDS786280 RNO786280 RXK786280 SHG786280 SRC786280 TAY786280 TKU786280 TUQ786280 UEM786280 UOI786280 UYE786280 VIA786280 VRW786280 WBS786280 WLO786280 WVK786280 C851816 IY851816 SU851816 ACQ851816 AMM851816 AWI851816 BGE851816 BQA851816 BZW851816 CJS851816 CTO851816 DDK851816 DNG851816 DXC851816 EGY851816 EQU851816 FAQ851816 FKM851816 FUI851816 GEE851816 GOA851816 GXW851816 HHS851816 HRO851816 IBK851816 ILG851816 IVC851816 JEY851816 JOU851816 JYQ851816 KIM851816 KSI851816 LCE851816 LMA851816 LVW851816 MFS851816 MPO851816 MZK851816 NJG851816 NTC851816 OCY851816 OMU851816 OWQ851816 PGM851816 PQI851816 QAE851816 QKA851816 QTW851816 RDS851816 RNO851816 RXK851816 SHG851816 SRC851816 TAY851816 TKU851816 TUQ851816 UEM851816 UOI851816 UYE851816 VIA851816 VRW851816 WBS851816 WLO851816 WVK851816 C917352 IY917352 SU917352 ACQ917352 AMM917352 AWI917352 BGE917352 BQA917352 BZW917352 CJS917352 CTO917352 DDK917352 DNG917352 DXC917352 EGY917352 EQU917352 FAQ917352 FKM917352 FUI917352 GEE917352 GOA917352 GXW917352 HHS917352 HRO917352 IBK917352 ILG917352 IVC917352 JEY917352 JOU917352 JYQ917352 KIM917352 KSI917352 LCE917352 LMA917352 LVW917352 MFS917352 MPO917352 MZK917352 NJG917352 NTC917352 OCY917352 OMU917352 OWQ917352 PGM917352 PQI917352 QAE917352 QKA917352 QTW917352 RDS917352 RNO917352 RXK917352 SHG917352 SRC917352 TAY917352 TKU917352 TUQ917352 UEM917352 UOI917352 UYE917352 VIA917352 VRW917352 WBS917352 WLO917352 WVK917352 C982888 IY982888 SU982888 ACQ982888 AMM982888 AWI982888 BGE982888 BQA982888 BZW982888 CJS982888 CTO982888 DDK982888 DNG982888 DXC982888 EGY982888 EQU982888 FAQ982888 FKM982888 FUI982888 GEE982888 GOA982888 GXW982888 HHS982888 HRO982888 IBK982888 ILG982888 IVC982888 JEY982888 JOU982888 JYQ982888 KIM982888 KSI982888 LCE982888 LMA982888 LVW982888 MFS982888 MPO982888 MZK982888 NJG982888 NTC982888 OCY982888 OMU982888 OWQ982888 PGM982888 PQI982888 QAE982888 QKA982888 QTW982888 RDS982888 RNO982888 RXK982888 SHG982888 SRC982888 TAY982888 TKU982888 TUQ982888 UEM982888 UOI982888 UYE982888 VIA982888 VRW982888 WBS982888 WLO982888 WVK982888 C1048424 IY1048424 SU1048424 ACQ1048424 AMM1048424 AWI1048424 BGE1048424 BQA1048424 BZW1048424 CJS1048424 CTO1048424 DDK1048424 DNG1048424 DXC1048424 EGY1048424 EQU1048424 FAQ1048424 FKM1048424 FUI1048424 GEE1048424 GOA1048424 GXW1048424 HHS1048424 HRO1048424 IBK1048424 ILG1048424 IVC1048424 JEY1048424 JOU1048424 JYQ1048424 KIM1048424 KSI1048424 LCE1048424 LMA1048424 LVW1048424 MFS1048424 MPO1048424 MZK1048424 NJG1048424 NTC1048424 OCY1048424 OMU1048424 OWQ1048424 PGM1048424 PQI1048424 QAE1048424 QKA1048424 QTW1048424 RDS1048424 RNO1048424 RXK1048424 SHG1048424 SRC1048424 TAY1048424 TKU1048424 TUQ1048424 UEM1048424 UOI1048424 UYE1048424 VIA1048424 VRW1048424 WBS1048424 WLO1048424 WVK1048424" xr:uid="{00000000-0002-0000-0400-000000000000}"/>
    <dataValidation allowBlank="1" showInputMessage="1" showErrorMessage="1" prompt="Bao gồm: tăng 300tr. đồng Ghi thu ghi chi quyền sử dụng đất khai thác quỹ đất khu phía Nam cầu Đăk bla (Thường xuyên)" sqref="WVZ983105 JN71 TJ71 ADF71 ANB71 AWX71 BGT71 BQP71 CAL71 CKH71 CUD71 DDZ71 DNV71 DXR71 EHN71 ERJ71 FBF71 FLB71 FUX71 GET71 GOP71 GYL71 HIH71 HSD71 IBZ71 ILV71 IVR71 JFN71 JPJ71 JZF71 KJB71 KSX71 LCT71 LMP71 LWL71 MGH71 MQD71 MZZ71 NJV71 NTR71 ODN71 ONJ71 OXF71 PHB71 PQX71 QAT71 QKP71 QUL71 REH71 ROD71 RXZ71 SHV71 SRR71 TBN71 TLJ71 TVF71 UFB71 UOX71 UYT71 VIP71 VSL71 WCH71 WMD71 WVZ71 R65601 JN65601 TJ65601 ADF65601 ANB65601 AWX65601 BGT65601 BQP65601 CAL65601 CKH65601 CUD65601 DDZ65601 DNV65601 DXR65601 EHN65601 ERJ65601 FBF65601 FLB65601 FUX65601 GET65601 GOP65601 GYL65601 HIH65601 HSD65601 IBZ65601 ILV65601 IVR65601 JFN65601 JPJ65601 JZF65601 KJB65601 KSX65601 LCT65601 LMP65601 LWL65601 MGH65601 MQD65601 MZZ65601 NJV65601 NTR65601 ODN65601 ONJ65601 OXF65601 PHB65601 PQX65601 QAT65601 QKP65601 QUL65601 REH65601 ROD65601 RXZ65601 SHV65601 SRR65601 TBN65601 TLJ65601 TVF65601 UFB65601 UOX65601 UYT65601 VIP65601 VSL65601 WCH65601 WMD65601 WVZ65601 R131137 JN131137 TJ131137 ADF131137 ANB131137 AWX131137 BGT131137 BQP131137 CAL131137 CKH131137 CUD131137 DDZ131137 DNV131137 DXR131137 EHN131137 ERJ131137 FBF131137 FLB131137 FUX131137 GET131137 GOP131137 GYL131137 HIH131137 HSD131137 IBZ131137 ILV131137 IVR131137 JFN131137 JPJ131137 JZF131137 KJB131137 KSX131137 LCT131137 LMP131137 LWL131137 MGH131137 MQD131137 MZZ131137 NJV131137 NTR131137 ODN131137 ONJ131137 OXF131137 PHB131137 PQX131137 QAT131137 QKP131137 QUL131137 REH131137 ROD131137 RXZ131137 SHV131137 SRR131137 TBN131137 TLJ131137 TVF131137 UFB131137 UOX131137 UYT131137 VIP131137 VSL131137 WCH131137 WMD131137 WVZ131137 R196673 JN196673 TJ196673 ADF196673 ANB196673 AWX196673 BGT196673 BQP196673 CAL196673 CKH196673 CUD196673 DDZ196673 DNV196673 DXR196673 EHN196673 ERJ196673 FBF196673 FLB196673 FUX196673 GET196673 GOP196673 GYL196673 HIH196673 HSD196673 IBZ196673 ILV196673 IVR196673 JFN196673 JPJ196673 JZF196673 KJB196673 KSX196673 LCT196673 LMP196673 LWL196673 MGH196673 MQD196673 MZZ196673 NJV196673 NTR196673 ODN196673 ONJ196673 OXF196673 PHB196673 PQX196673 QAT196673 QKP196673 QUL196673 REH196673 ROD196673 RXZ196673 SHV196673 SRR196673 TBN196673 TLJ196673 TVF196673 UFB196673 UOX196673 UYT196673 VIP196673 VSL196673 WCH196673 WMD196673 WVZ196673 R262209 JN262209 TJ262209 ADF262209 ANB262209 AWX262209 BGT262209 BQP262209 CAL262209 CKH262209 CUD262209 DDZ262209 DNV262209 DXR262209 EHN262209 ERJ262209 FBF262209 FLB262209 FUX262209 GET262209 GOP262209 GYL262209 HIH262209 HSD262209 IBZ262209 ILV262209 IVR262209 JFN262209 JPJ262209 JZF262209 KJB262209 KSX262209 LCT262209 LMP262209 LWL262209 MGH262209 MQD262209 MZZ262209 NJV262209 NTR262209 ODN262209 ONJ262209 OXF262209 PHB262209 PQX262209 QAT262209 QKP262209 QUL262209 REH262209 ROD262209 RXZ262209 SHV262209 SRR262209 TBN262209 TLJ262209 TVF262209 UFB262209 UOX262209 UYT262209 VIP262209 VSL262209 WCH262209 WMD262209 WVZ262209 R327745 JN327745 TJ327745 ADF327745 ANB327745 AWX327745 BGT327745 BQP327745 CAL327745 CKH327745 CUD327745 DDZ327745 DNV327745 DXR327745 EHN327745 ERJ327745 FBF327745 FLB327745 FUX327745 GET327745 GOP327745 GYL327745 HIH327745 HSD327745 IBZ327745 ILV327745 IVR327745 JFN327745 JPJ327745 JZF327745 KJB327745 KSX327745 LCT327745 LMP327745 LWL327745 MGH327745 MQD327745 MZZ327745 NJV327745 NTR327745 ODN327745 ONJ327745 OXF327745 PHB327745 PQX327745 QAT327745 QKP327745 QUL327745 REH327745 ROD327745 RXZ327745 SHV327745 SRR327745 TBN327745 TLJ327745 TVF327745 UFB327745 UOX327745 UYT327745 VIP327745 VSL327745 WCH327745 WMD327745 WVZ327745 R393281 JN393281 TJ393281 ADF393281 ANB393281 AWX393281 BGT393281 BQP393281 CAL393281 CKH393281 CUD393281 DDZ393281 DNV393281 DXR393281 EHN393281 ERJ393281 FBF393281 FLB393281 FUX393281 GET393281 GOP393281 GYL393281 HIH393281 HSD393281 IBZ393281 ILV393281 IVR393281 JFN393281 JPJ393281 JZF393281 KJB393281 KSX393281 LCT393281 LMP393281 LWL393281 MGH393281 MQD393281 MZZ393281 NJV393281 NTR393281 ODN393281 ONJ393281 OXF393281 PHB393281 PQX393281 QAT393281 QKP393281 QUL393281 REH393281 ROD393281 RXZ393281 SHV393281 SRR393281 TBN393281 TLJ393281 TVF393281 UFB393281 UOX393281 UYT393281 VIP393281 VSL393281 WCH393281 WMD393281 WVZ393281 R458817 JN458817 TJ458817 ADF458817 ANB458817 AWX458817 BGT458817 BQP458817 CAL458817 CKH458817 CUD458817 DDZ458817 DNV458817 DXR458817 EHN458817 ERJ458817 FBF458817 FLB458817 FUX458817 GET458817 GOP458817 GYL458817 HIH458817 HSD458817 IBZ458817 ILV458817 IVR458817 JFN458817 JPJ458817 JZF458817 KJB458817 KSX458817 LCT458817 LMP458817 LWL458817 MGH458817 MQD458817 MZZ458817 NJV458817 NTR458817 ODN458817 ONJ458817 OXF458817 PHB458817 PQX458817 QAT458817 QKP458817 QUL458817 REH458817 ROD458817 RXZ458817 SHV458817 SRR458817 TBN458817 TLJ458817 TVF458817 UFB458817 UOX458817 UYT458817 VIP458817 VSL458817 WCH458817 WMD458817 WVZ458817 R524353 JN524353 TJ524353 ADF524353 ANB524353 AWX524353 BGT524353 BQP524353 CAL524353 CKH524353 CUD524353 DDZ524353 DNV524353 DXR524353 EHN524353 ERJ524353 FBF524353 FLB524353 FUX524353 GET524353 GOP524353 GYL524353 HIH524353 HSD524353 IBZ524353 ILV524353 IVR524353 JFN524353 JPJ524353 JZF524353 KJB524353 KSX524353 LCT524353 LMP524353 LWL524353 MGH524353 MQD524353 MZZ524353 NJV524353 NTR524353 ODN524353 ONJ524353 OXF524353 PHB524353 PQX524353 QAT524353 QKP524353 QUL524353 REH524353 ROD524353 RXZ524353 SHV524353 SRR524353 TBN524353 TLJ524353 TVF524353 UFB524353 UOX524353 UYT524353 VIP524353 VSL524353 WCH524353 WMD524353 WVZ524353 R589889 JN589889 TJ589889 ADF589889 ANB589889 AWX589889 BGT589889 BQP589889 CAL589889 CKH589889 CUD589889 DDZ589889 DNV589889 DXR589889 EHN589889 ERJ589889 FBF589889 FLB589889 FUX589889 GET589889 GOP589889 GYL589889 HIH589889 HSD589889 IBZ589889 ILV589889 IVR589889 JFN589889 JPJ589889 JZF589889 KJB589889 KSX589889 LCT589889 LMP589889 LWL589889 MGH589889 MQD589889 MZZ589889 NJV589889 NTR589889 ODN589889 ONJ589889 OXF589889 PHB589889 PQX589889 QAT589889 QKP589889 QUL589889 REH589889 ROD589889 RXZ589889 SHV589889 SRR589889 TBN589889 TLJ589889 TVF589889 UFB589889 UOX589889 UYT589889 VIP589889 VSL589889 WCH589889 WMD589889 WVZ589889 R655425 JN655425 TJ655425 ADF655425 ANB655425 AWX655425 BGT655425 BQP655425 CAL655425 CKH655425 CUD655425 DDZ655425 DNV655425 DXR655425 EHN655425 ERJ655425 FBF655425 FLB655425 FUX655425 GET655425 GOP655425 GYL655425 HIH655425 HSD655425 IBZ655425 ILV655425 IVR655425 JFN655425 JPJ655425 JZF655425 KJB655425 KSX655425 LCT655425 LMP655425 LWL655425 MGH655425 MQD655425 MZZ655425 NJV655425 NTR655425 ODN655425 ONJ655425 OXF655425 PHB655425 PQX655425 QAT655425 QKP655425 QUL655425 REH655425 ROD655425 RXZ655425 SHV655425 SRR655425 TBN655425 TLJ655425 TVF655425 UFB655425 UOX655425 UYT655425 VIP655425 VSL655425 WCH655425 WMD655425 WVZ655425 R720961 JN720961 TJ720961 ADF720961 ANB720961 AWX720961 BGT720961 BQP720961 CAL720961 CKH720961 CUD720961 DDZ720961 DNV720961 DXR720961 EHN720961 ERJ720961 FBF720961 FLB720961 FUX720961 GET720961 GOP720961 GYL720961 HIH720961 HSD720961 IBZ720961 ILV720961 IVR720961 JFN720961 JPJ720961 JZF720961 KJB720961 KSX720961 LCT720961 LMP720961 LWL720961 MGH720961 MQD720961 MZZ720961 NJV720961 NTR720961 ODN720961 ONJ720961 OXF720961 PHB720961 PQX720961 QAT720961 QKP720961 QUL720961 REH720961 ROD720961 RXZ720961 SHV720961 SRR720961 TBN720961 TLJ720961 TVF720961 UFB720961 UOX720961 UYT720961 VIP720961 VSL720961 WCH720961 WMD720961 WVZ720961 R786497 JN786497 TJ786497 ADF786497 ANB786497 AWX786497 BGT786497 BQP786497 CAL786497 CKH786497 CUD786497 DDZ786497 DNV786497 DXR786497 EHN786497 ERJ786497 FBF786497 FLB786497 FUX786497 GET786497 GOP786497 GYL786497 HIH786497 HSD786497 IBZ786497 ILV786497 IVR786497 JFN786497 JPJ786497 JZF786497 KJB786497 KSX786497 LCT786497 LMP786497 LWL786497 MGH786497 MQD786497 MZZ786497 NJV786497 NTR786497 ODN786497 ONJ786497 OXF786497 PHB786497 PQX786497 QAT786497 QKP786497 QUL786497 REH786497 ROD786497 RXZ786497 SHV786497 SRR786497 TBN786497 TLJ786497 TVF786497 UFB786497 UOX786497 UYT786497 VIP786497 VSL786497 WCH786497 WMD786497 WVZ786497 R852033 JN852033 TJ852033 ADF852033 ANB852033 AWX852033 BGT852033 BQP852033 CAL852033 CKH852033 CUD852033 DDZ852033 DNV852033 DXR852033 EHN852033 ERJ852033 FBF852033 FLB852033 FUX852033 GET852033 GOP852033 GYL852033 HIH852033 HSD852033 IBZ852033 ILV852033 IVR852033 JFN852033 JPJ852033 JZF852033 KJB852033 KSX852033 LCT852033 LMP852033 LWL852033 MGH852033 MQD852033 MZZ852033 NJV852033 NTR852033 ODN852033 ONJ852033 OXF852033 PHB852033 PQX852033 QAT852033 QKP852033 QUL852033 REH852033 ROD852033 RXZ852033 SHV852033 SRR852033 TBN852033 TLJ852033 TVF852033 UFB852033 UOX852033 UYT852033 VIP852033 VSL852033 WCH852033 WMD852033 WVZ852033 R917569 JN917569 TJ917569 ADF917569 ANB917569 AWX917569 BGT917569 BQP917569 CAL917569 CKH917569 CUD917569 DDZ917569 DNV917569 DXR917569 EHN917569 ERJ917569 FBF917569 FLB917569 FUX917569 GET917569 GOP917569 GYL917569 HIH917569 HSD917569 IBZ917569 ILV917569 IVR917569 JFN917569 JPJ917569 JZF917569 KJB917569 KSX917569 LCT917569 LMP917569 LWL917569 MGH917569 MQD917569 MZZ917569 NJV917569 NTR917569 ODN917569 ONJ917569 OXF917569 PHB917569 PQX917569 QAT917569 QKP917569 QUL917569 REH917569 ROD917569 RXZ917569 SHV917569 SRR917569 TBN917569 TLJ917569 TVF917569 UFB917569 UOX917569 UYT917569 VIP917569 VSL917569 WCH917569 WMD917569 WVZ917569 R983105 JN983105 TJ983105 ADF983105 ANB983105 AWX983105 BGT983105 BQP983105 CAL983105 CKH983105 CUD983105 DDZ983105 DNV983105 DXR983105 EHN983105 ERJ983105 FBF983105 FLB983105 FUX983105 GET983105 GOP983105 GYL983105 HIH983105 HSD983105 IBZ983105 ILV983105 IVR983105 JFN983105 JPJ983105 JZF983105 KJB983105 KSX983105 LCT983105 LMP983105 LWL983105 MGH983105 MQD983105 MZZ983105 NJV983105 NTR983105 ODN983105 ONJ983105 OXF983105 PHB983105 PQX983105 QAT983105 QKP983105 QUL983105 REH983105 ROD983105 RXZ983105 SHV983105 SRR983105 TBN983105 TLJ983105 TVF983105 UFB983105 UOX983105 UYT983105 VIP983105 VSL983105 WCH983105 WMD983105 R69" xr:uid="{00000000-0002-0000-0400-000001000000}"/>
    <dataValidation allowBlank="1" showInputMessage="1" showErrorMessage="1" prompt="Bao gồm Văn phòng điều phối CT MTQG NTM" sqref="WVU983048 JI16 TE16 ADA16 AMW16 AWS16 BGO16 BQK16 CAG16 CKC16 CTY16 DDU16 DNQ16 DXM16 EHI16 ERE16 FBA16 FKW16 FUS16 GEO16 GOK16 GYG16 HIC16 HRY16 IBU16 ILQ16 IVM16 JFI16 JPE16 JZA16 KIW16 KSS16 LCO16 LMK16 LWG16 MGC16 MPY16 MZU16 NJQ16 NTM16 ODI16 ONE16 OXA16 PGW16 PQS16 QAO16 QKK16 QUG16 REC16 RNY16 RXU16 SHQ16 SRM16 TBI16 TLE16 TVA16 UEW16 UOS16 UYO16 VIK16 VSG16 WCC16 WLY16 WVU16 M65544 JI65544 TE65544 ADA65544 AMW65544 AWS65544 BGO65544 BQK65544 CAG65544 CKC65544 CTY65544 DDU65544 DNQ65544 DXM65544 EHI65544 ERE65544 FBA65544 FKW65544 FUS65544 GEO65544 GOK65544 GYG65544 HIC65544 HRY65544 IBU65544 ILQ65544 IVM65544 JFI65544 JPE65544 JZA65544 KIW65544 KSS65544 LCO65544 LMK65544 LWG65544 MGC65544 MPY65544 MZU65544 NJQ65544 NTM65544 ODI65544 ONE65544 OXA65544 PGW65544 PQS65544 QAO65544 QKK65544 QUG65544 REC65544 RNY65544 RXU65544 SHQ65544 SRM65544 TBI65544 TLE65544 TVA65544 UEW65544 UOS65544 UYO65544 VIK65544 VSG65544 WCC65544 WLY65544 WVU65544 M131080 JI131080 TE131080 ADA131080 AMW131080 AWS131080 BGO131080 BQK131080 CAG131080 CKC131080 CTY131080 DDU131080 DNQ131080 DXM131080 EHI131080 ERE131080 FBA131080 FKW131080 FUS131080 GEO131080 GOK131080 GYG131080 HIC131080 HRY131080 IBU131080 ILQ131080 IVM131080 JFI131080 JPE131080 JZA131080 KIW131080 KSS131080 LCO131080 LMK131080 LWG131080 MGC131080 MPY131080 MZU131080 NJQ131080 NTM131080 ODI131080 ONE131080 OXA131080 PGW131080 PQS131080 QAO131080 QKK131080 QUG131080 REC131080 RNY131080 RXU131080 SHQ131080 SRM131080 TBI131080 TLE131080 TVA131080 UEW131080 UOS131080 UYO131080 VIK131080 VSG131080 WCC131080 WLY131080 WVU131080 M196616 JI196616 TE196616 ADA196616 AMW196616 AWS196616 BGO196616 BQK196616 CAG196616 CKC196616 CTY196616 DDU196616 DNQ196616 DXM196616 EHI196616 ERE196616 FBA196616 FKW196616 FUS196616 GEO196616 GOK196616 GYG196616 HIC196616 HRY196616 IBU196616 ILQ196616 IVM196616 JFI196616 JPE196616 JZA196616 KIW196616 KSS196616 LCO196616 LMK196616 LWG196616 MGC196616 MPY196616 MZU196616 NJQ196616 NTM196616 ODI196616 ONE196616 OXA196616 PGW196616 PQS196616 QAO196616 QKK196616 QUG196616 REC196616 RNY196616 RXU196616 SHQ196616 SRM196616 TBI196616 TLE196616 TVA196616 UEW196616 UOS196616 UYO196616 VIK196616 VSG196616 WCC196616 WLY196616 WVU196616 M262152 JI262152 TE262152 ADA262152 AMW262152 AWS262152 BGO262152 BQK262152 CAG262152 CKC262152 CTY262152 DDU262152 DNQ262152 DXM262152 EHI262152 ERE262152 FBA262152 FKW262152 FUS262152 GEO262152 GOK262152 GYG262152 HIC262152 HRY262152 IBU262152 ILQ262152 IVM262152 JFI262152 JPE262152 JZA262152 KIW262152 KSS262152 LCO262152 LMK262152 LWG262152 MGC262152 MPY262152 MZU262152 NJQ262152 NTM262152 ODI262152 ONE262152 OXA262152 PGW262152 PQS262152 QAO262152 QKK262152 QUG262152 REC262152 RNY262152 RXU262152 SHQ262152 SRM262152 TBI262152 TLE262152 TVA262152 UEW262152 UOS262152 UYO262152 VIK262152 VSG262152 WCC262152 WLY262152 WVU262152 M327688 JI327688 TE327688 ADA327688 AMW327688 AWS327688 BGO327688 BQK327688 CAG327688 CKC327688 CTY327688 DDU327688 DNQ327688 DXM327688 EHI327688 ERE327688 FBA327688 FKW327688 FUS327688 GEO327688 GOK327688 GYG327688 HIC327688 HRY327688 IBU327688 ILQ327688 IVM327688 JFI327688 JPE327688 JZA327688 KIW327688 KSS327688 LCO327688 LMK327688 LWG327688 MGC327688 MPY327688 MZU327688 NJQ327688 NTM327688 ODI327688 ONE327688 OXA327688 PGW327688 PQS327688 QAO327688 QKK327688 QUG327688 REC327688 RNY327688 RXU327688 SHQ327688 SRM327688 TBI327688 TLE327688 TVA327688 UEW327688 UOS327688 UYO327688 VIK327688 VSG327688 WCC327688 WLY327688 WVU327688 M393224 JI393224 TE393224 ADA393224 AMW393224 AWS393224 BGO393224 BQK393224 CAG393224 CKC393224 CTY393224 DDU393224 DNQ393224 DXM393224 EHI393224 ERE393224 FBA393224 FKW393224 FUS393224 GEO393224 GOK393224 GYG393224 HIC393224 HRY393224 IBU393224 ILQ393224 IVM393224 JFI393224 JPE393224 JZA393224 KIW393224 KSS393224 LCO393224 LMK393224 LWG393224 MGC393224 MPY393224 MZU393224 NJQ393224 NTM393224 ODI393224 ONE393224 OXA393224 PGW393224 PQS393224 QAO393224 QKK393224 QUG393224 REC393224 RNY393224 RXU393224 SHQ393224 SRM393224 TBI393224 TLE393224 TVA393224 UEW393224 UOS393224 UYO393224 VIK393224 VSG393224 WCC393224 WLY393224 WVU393224 M458760 JI458760 TE458760 ADA458760 AMW458760 AWS458760 BGO458760 BQK458760 CAG458760 CKC458760 CTY458760 DDU458760 DNQ458760 DXM458760 EHI458760 ERE458760 FBA458760 FKW458760 FUS458760 GEO458760 GOK458760 GYG458760 HIC458760 HRY458760 IBU458760 ILQ458760 IVM458760 JFI458760 JPE458760 JZA458760 KIW458760 KSS458760 LCO458760 LMK458760 LWG458760 MGC458760 MPY458760 MZU458760 NJQ458760 NTM458760 ODI458760 ONE458760 OXA458760 PGW458760 PQS458760 QAO458760 QKK458760 QUG458760 REC458760 RNY458760 RXU458760 SHQ458760 SRM458760 TBI458760 TLE458760 TVA458760 UEW458760 UOS458760 UYO458760 VIK458760 VSG458760 WCC458760 WLY458760 WVU458760 M524296 JI524296 TE524296 ADA524296 AMW524296 AWS524296 BGO524296 BQK524296 CAG524296 CKC524296 CTY524296 DDU524296 DNQ524296 DXM524296 EHI524296 ERE524296 FBA524296 FKW524296 FUS524296 GEO524296 GOK524296 GYG524296 HIC524296 HRY524296 IBU524296 ILQ524296 IVM524296 JFI524296 JPE524296 JZA524296 KIW524296 KSS524296 LCO524296 LMK524296 LWG524296 MGC524296 MPY524296 MZU524296 NJQ524296 NTM524296 ODI524296 ONE524296 OXA524296 PGW524296 PQS524296 QAO524296 QKK524296 QUG524296 REC524296 RNY524296 RXU524296 SHQ524296 SRM524296 TBI524296 TLE524296 TVA524296 UEW524296 UOS524296 UYO524296 VIK524296 VSG524296 WCC524296 WLY524296 WVU524296 M589832 JI589832 TE589832 ADA589832 AMW589832 AWS589832 BGO589832 BQK589832 CAG589832 CKC589832 CTY589832 DDU589832 DNQ589832 DXM589832 EHI589832 ERE589832 FBA589832 FKW589832 FUS589832 GEO589832 GOK589832 GYG589832 HIC589832 HRY589832 IBU589832 ILQ589832 IVM589832 JFI589832 JPE589832 JZA589832 KIW589832 KSS589832 LCO589832 LMK589832 LWG589832 MGC589832 MPY589832 MZU589832 NJQ589832 NTM589832 ODI589832 ONE589832 OXA589832 PGW589832 PQS589832 QAO589832 QKK589832 QUG589832 REC589832 RNY589832 RXU589832 SHQ589832 SRM589832 TBI589832 TLE589832 TVA589832 UEW589832 UOS589832 UYO589832 VIK589832 VSG589832 WCC589832 WLY589832 WVU589832 M655368 JI655368 TE655368 ADA655368 AMW655368 AWS655368 BGO655368 BQK655368 CAG655368 CKC655368 CTY655368 DDU655368 DNQ655368 DXM655368 EHI655368 ERE655368 FBA655368 FKW655368 FUS655368 GEO655368 GOK655368 GYG655368 HIC655368 HRY655368 IBU655368 ILQ655368 IVM655368 JFI655368 JPE655368 JZA655368 KIW655368 KSS655368 LCO655368 LMK655368 LWG655368 MGC655368 MPY655368 MZU655368 NJQ655368 NTM655368 ODI655368 ONE655368 OXA655368 PGW655368 PQS655368 QAO655368 QKK655368 QUG655368 REC655368 RNY655368 RXU655368 SHQ655368 SRM655368 TBI655368 TLE655368 TVA655368 UEW655368 UOS655368 UYO655368 VIK655368 VSG655368 WCC655368 WLY655368 WVU655368 M720904 JI720904 TE720904 ADA720904 AMW720904 AWS720904 BGO720904 BQK720904 CAG720904 CKC720904 CTY720904 DDU720904 DNQ720904 DXM720904 EHI720904 ERE720904 FBA720904 FKW720904 FUS720904 GEO720904 GOK720904 GYG720904 HIC720904 HRY720904 IBU720904 ILQ720904 IVM720904 JFI720904 JPE720904 JZA720904 KIW720904 KSS720904 LCO720904 LMK720904 LWG720904 MGC720904 MPY720904 MZU720904 NJQ720904 NTM720904 ODI720904 ONE720904 OXA720904 PGW720904 PQS720904 QAO720904 QKK720904 QUG720904 REC720904 RNY720904 RXU720904 SHQ720904 SRM720904 TBI720904 TLE720904 TVA720904 UEW720904 UOS720904 UYO720904 VIK720904 VSG720904 WCC720904 WLY720904 WVU720904 M786440 JI786440 TE786440 ADA786440 AMW786440 AWS786440 BGO786440 BQK786440 CAG786440 CKC786440 CTY786440 DDU786440 DNQ786440 DXM786440 EHI786440 ERE786440 FBA786440 FKW786440 FUS786440 GEO786440 GOK786440 GYG786440 HIC786440 HRY786440 IBU786440 ILQ786440 IVM786440 JFI786440 JPE786440 JZA786440 KIW786440 KSS786440 LCO786440 LMK786440 LWG786440 MGC786440 MPY786440 MZU786440 NJQ786440 NTM786440 ODI786440 ONE786440 OXA786440 PGW786440 PQS786440 QAO786440 QKK786440 QUG786440 REC786440 RNY786440 RXU786440 SHQ786440 SRM786440 TBI786440 TLE786440 TVA786440 UEW786440 UOS786440 UYO786440 VIK786440 VSG786440 WCC786440 WLY786440 WVU786440 M851976 JI851976 TE851976 ADA851976 AMW851976 AWS851976 BGO851976 BQK851976 CAG851976 CKC851976 CTY851976 DDU851976 DNQ851976 DXM851976 EHI851976 ERE851976 FBA851976 FKW851976 FUS851976 GEO851976 GOK851976 GYG851976 HIC851976 HRY851976 IBU851976 ILQ851976 IVM851976 JFI851976 JPE851976 JZA851976 KIW851976 KSS851976 LCO851976 LMK851976 LWG851976 MGC851976 MPY851976 MZU851976 NJQ851976 NTM851976 ODI851976 ONE851976 OXA851976 PGW851976 PQS851976 QAO851976 QKK851976 QUG851976 REC851976 RNY851976 RXU851976 SHQ851976 SRM851976 TBI851976 TLE851976 TVA851976 UEW851976 UOS851976 UYO851976 VIK851976 VSG851976 WCC851976 WLY851976 WVU851976 M917512 JI917512 TE917512 ADA917512 AMW917512 AWS917512 BGO917512 BQK917512 CAG917512 CKC917512 CTY917512 DDU917512 DNQ917512 DXM917512 EHI917512 ERE917512 FBA917512 FKW917512 FUS917512 GEO917512 GOK917512 GYG917512 HIC917512 HRY917512 IBU917512 ILQ917512 IVM917512 JFI917512 JPE917512 JZA917512 KIW917512 KSS917512 LCO917512 LMK917512 LWG917512 MGC917512 MPY917512 MZU917512 NJQ917512 NTM917512 ODI917512 ONE917512 OXA917512 PGW917512 PQS917512 QAO917512 QKK917512 QUG917512 REC917512 RNY917512 RXU917512 SHQ917512 SRM917512 TBI917512 TLE917512 TVA917512 UEW917512 UOS917512 UYO917512 VIK917512 VSG917512 WCC917512 WLY917512 WVU917512 M983048 JI983048 TE983048 ADA983048 AMW983048 AWS983048 BGO983048 BQK983048 CAG983048 CKC983048 CTY983048 DDU983048 DNQ983048 DXM983048 EHI983048 ERE983048 FBA983048 FKW983048 FUS983048 GEO983048 GOK983048 GYG983048 HIC983048 HRY983048 IBU983048 ILQ983048 IVM983048 JFI983048 JPE983048 JZA983048 KIW983048 KSS983048 LCO983048 LMK983048 LWG983048 MGC983048 MPY983048 MZU983048 NJQ983048 NTM983048 ODI983048 ONE983048 OXA983048 PGW983048 PQS983048 QAO983048 QKK983048 QUG983048 REC983048 RNY983048 RXU983048 SHQ983048 SRM983048 TBI983048 TLE983048 TVA983048 UEW983048 UOS983048 UYO983048 VIK983048 VSG983048 WCC983048 WLY983048 M15" xr:uid="{00000000-0002-0000-0400-000002000000}"/>
    <dataValidation allowBlank="1" showInputMessage="1" showErrorMessage="1" prompt="Bao gồm cả BS cân đối để khớp với tổng chi NS tỉnh" sqref="WWB983148 JP113 TL113 ADH113 AND113 AWZ113 BGV113 BQR113 CAN113 CKJ113 CUF113 DEB113 DNX113 DXT113 EHP113 ERL113 FBH113 FLD113 FUZ113 GEV113 GOR113 GYN113 HIJ113 HSF113 ICB113 ILX113 IVT113 JFP113 JPL113 JZH113 KJD113 KSZ113 LCV113 LMR113 LWN113 MGJ113 MQF113 NAB113 NJX113 NTT113 ODP113 ONL113 OXH113 PHD113 PQZ113 QAV113 QKR113 QUN113 REJ113 ROF113 RYB113 SHX113 SRT113 TBP113 TLL113 TVH113 UFD113 UOZ113 UYV113 VIR113 VSN113 WCJ113 WMF113 WWB113 T65644 JP65644 TL65644 ADH65644 AND65644 AWZ65644 BGV65644 BQR65644 CAN65644 CKJ65644 CUF65644 DEB65644 DNX65644 DXT65644 EHP65644 ERL65644 FBH65644 FLD65644 FUZ65644 GEV65644 GOR65644 GYN65644 HIJ65644 HSF65644 ICB65644 ILX65644 IVT65644 JFP65644 JPL65644 JZH65644 KJD65644 KSZ65644 LCV65644 LMR65644 LWN65644 MGJ65644 MQF65644 NAB65644 NJX65644 NTT65644 ODP65644 ONL65644 OXH65644 PHD65644 PQZ65644 QAV65644 QKR65644 QUN65644 REJ65644 ROF65644 RYB65644 SHX65644 SRT65644 TBP65644 TLL65644 TVH65644 UFD65644 UOZ65644 UYV65644 VIR65644 VSN65644 WCJ65644 WMF65644 WWB65644 T131180 JP131180 TL131180 ADH131180 AND131180 AWZ131180 BGV131180 BQR131180 CAN131180 CKJ131180 CUF131180 DEB131180 DNX131180 DXT131180 EHP131180 ERL131180 FBH131180 FLD131180 FUZ131180 GEV131180 GOR131180 GYN131180 HIJ131180 HSF131180 ICB131180 ILX131180 IVT131180 JFP131180 JPL131180 JZH131180 KJD131180 KSZ131180 LCV131180 LMR131180 LWN131180 MGJ131180 MQF131180 NAB131180 NJX131180 NTT131180 ODP131180 ONL131180 OXH131180 PHD131180 PQZ131180 QAV131180 QKR131180 QUN131180 REJ131180 ROF131180 RYB131180 SHX131180 SRT131180 TBP131180 TLL131180 TVH131180 UFD131180 UOZ131180 UYV131180 VIR131180 VSN131180 WCJ131180 WMF131180 WWB131180 T196716 JP196716 TL196716 ADH196716 AND196716 AWZ196716 BGV196716 BQR196716 CAN196716 CKJ196716 CUF196716 DEB196716 DNX196716 DXT196716 EHP196716 ERL196716 FBH196716 FLD196716 FUZ196716 GEV196716 GOR196716 GYN196716 HIJ196716 HSF196716 ICB196716 ILX196716 IVT196716 JFP196716 JPL196716 JZH196716 KJD196716 KSZ196716 LCV196716 LMR196716 LWN196716 MGJ196716 MQF196716 NAB196716 NJX196716 NTT196716 ODP196716 ONL196716 OXH196716 PHD196716 PQZ196716 QAV196716 QKR196716 QUN196716 REJ196716 ROF196716 RYB196716 SHX196716 SRT196716 TBP196716 TLL196716 TVH196716 UFD196716 UOZ196716 UYV196716 VIR196716 VSN196716 WCJ196716 WMF196716 WWB196716 T262252 JP262252 TL262252 ADH262252 AND262252 AWZ262252 BGV262252 BQR262252 CAN262252 CKJ262252 CUF262252 DEB262252 DNX262252 DXT262252 EHP262252 ERL262252 FBH262252 FLD262252 FUZ262252 GEV262252 GOR262252 GYN262252 HIJ262252 HSF262252 ICB262252 ILX262252 IVT262252 JFP262252 JPL262252 JZH262252 KJD262252 KSZ262252 LCV262252 LMR262252 LWN262252 MGJ262252 MQF262252 NAB262252 NJX262252 NTT262252 ODP262252 ONL262252 OXH262252 PHD262252 PQZ262252 QAV262252 QKR262252 QUN262252 REJ262252 ROF262252 RYB262252 SHX262252 SRT262252 TBP262252 TLL262252 TVH262252 UFD262252 UOZ262252 UYV262252 VIR262252 VSN262252 WCJ262252 WMF262252 WWB262252 T327788 JP327788 TL327788 ADH327788 AND327788 AWZ327788 BGV327788 BQR327788 CAN327788 CKJ327788 CUF327788 DEB327788 DNX327788 DXT327788 EHP327788 ERL327788 FBH327788 FLD327788 FUZ327788 GEV327788 GOR327788 GYN327788 HIJ327788 HSF327788 ICB327788 ILX327788 IVT327788 JFP327788 JPL327788 JZH327788 KJD327788 KSZ327788 LCV327788 LMR327788 LWN327788 MGJ327788 MQF327788 NAB327788 NJX327788 NTT327788 ODP327788 ONL327788 OXH327788 PHD327788 PQZ327788 QAV327788 QKR327788 QUN327788 REJ327788 ROF327788 RYB327788 SHX327788 SRT327788 TBP327788 TLL327788 TVH327788 UFD327788 UOZ327788 UYV327788 VIR327788 VSN327788 WCJ327788 WMF327788 WWB327788 T393324 JP393324 TL393324 ADH393324 AND393324 AWZ393324 BGV393324 BQR393324 CAN393324 CKJ393324 CUF393324 DEB393324 DNX393324 DXT393324 EHP393324 ERL393324 FBH393324 FLD393324 FUZ393324 GEV393324 GOR393324 GYN393324 HIJ393324 HSF393324 ICB393324 ILX393324 IVT393324 JFP393324 JPL393324 JZH393324 KJD393324 KSZ393324 LCV393324 LMR393324 LWN393324 MGJ393324 MQF393324 NAB393324 NJX393324 NTT393324 ODP393324 ONL393324 OXH393324 PHD393324 PQZ393324 QAV393324 QKR393324 QUN393324 REJ393324 ROF393324 RYB393324 SHX393324 SRT393324 TBP393324 TLL393324 TVH393324 UFD393324 UOZ393324 UYV393324 VIR393324 VSN393324 WCJ393324 WMF393324 WWB393324 T458860 JP458860 TL458860 ADH458860 AND458860 AWZ458860 BGV458860 BQR458860 CAN458860 CKJ458860 CUF458860 DEB458860 DNX458860 DXT458860 EHP458860 ERL458860 FBH458860 FLD458860 FUZ458860 GEV458860 GOR458860 GYN458860 HIJ458860 HSF458860 ICB458860 ILX458860 IVT458860 JFP458860 JPL458860 JZH458860 KJD458860 KSZ458860 LCV458860 LMR458860 LWN458860 MGJ458860 MQF458860 NAB458860 NJX458860 NTT458860 ODP458860 ONL458860 OXH458860 PHD458860 PQZ458860 QAV458860 QKR458860 QUN458860 REJ458860 ROF458860 RYB458860 SHX458860 SRT458860 TBP458860 TLL458860 TVH458860 UFD458860 UOZ458860 UYV458860 VIR458860 VSN458860 WCJ458860 WMF458860 WWB458860 T524396 JP524396 TL524396 ADH524396 AND524396 AWZ524396 BGV524396 BQR524396 CAN524396 CKJ524396 CUF524396 DEB524396 DNX524396 DXT524396 EHP524396 ERL524396 FBH524396 FLD524396 FUZ524396 GEV524396 GOR524396 GYN524396 HIJ524396 HSF524396 ICB524396 ILX524396 IVT524396 JFP524396 JPL524396 JZH524396 KJD524396 KSZ524396 LCV524396 LMR524396 LWN524396 MGJ524396 MQF524396 NAB524396 NJX524396 NTT524396 ODP524396 ONL524396 OXH524396 PHD524396 PQZ524396 QAV524396 QKR524396 QUN524396 REJ524396 ROF524396 RYB524396 SHX524396 SRT524396 TBP524396 TLL524396 TVH524396 UFD524396 UOZ524396 UYV524396 VIR524396 VSN524396 WCJ524396 WMF524396 WWB524396 T589932 JP589932 TL589932 ADH589932 AND589932 AWZ589932 BGV589932 BQR589932 CAN589932 CKJ589932 CUF589932 DEB589932 DNX589932 DXT589932 EHP589932 ERL589932 FBH589932 FLD589932 FUZ589932 GEV589932 GOR589932 GYN589932 HIJ589932 HSF589932 ICB589932 ILX589932 IVT589932 JFP589932 JPL589932 JZH589932 KJD589932 KSZ589932 LCV589932 LMR589932 LWN589932 MGJ589932 MQF589932 NAB589932 NJX589932 NTT589932 ODP589932 ONL589932 OXH589932 PHD589932 PQZ589932 QAV589932 QKR589932 QUN589932 REJ589932 ROF589932 RYB589932 SHX589932 SRT589932 TBP589932 TLL589932 TVH589932 UFD589932 UOZ589932 UYV589932 VIR589932 VSN589932 WCJ589932 WMF589932 WWB589932 T655468 JP655468 TL655468 ADH655468 AND655468 AWZ655468 BGV655468 BQR655468 CAN655468 CKJ655468 CUF655468 DEB655468 DNX655468 DXT655468 EHP655468 ERL655468 FBH655468 FLD655468 FUZ655468 GEV655468 GOR655468 GYN655468 HIJ655468 HSF655468 ICB655468 ILX655468 IVT655468 JFP655468 JPL655468 JZH655468 KJD655468 KSZ655468 LCV655468 LMR655468 LWN655468 MGJ655468 MQF655468 NAB655468 NJX655468 NTT655468 ODP655468 ONL655468 OXH655468 PHD655468 PQZ655468 QAV655468 QKR655468 QUN655468 REJ655468 ROF655468 RYB655468 SHX655468 SRT655468 TBP655468 TLL655468 TVH655468 UFD655468 UOZ655468 UYV655468 VIR655468 VSN655468 WCJ655468 WMF655468 WWB655468 T721004 JP721004 TL721004 ADH721004 AND721004 AWZ721004 BGV721004 BQR721004 CAN721004 CKJ721004 CUF721004 DEB721004 DNX721004 DXT721004 EHP721004 ERL721004 FBH721004 FLD721004 FUZ721004 GEV721004 GOR721004 GYN721004 HIJ721004 HSF721004 ICB721004 ILX721004 IVT721004 JFP721004 JPL721004 JZH721004 KJD721004 KSZ721004 LCV721004 LMR721004 LWN721004 MGJ721004 MQF721004 NAB721004 NJX721004 NTT721004 ODP721004 ONL721004 OXH721004 PHD721004 PQZ721004 QAV721004 QKR721004 QUN721004 REJ721004 ROF721004 RYB721004 SHX721004 SRT721004 TBP721004 TLL721004 TVH721004 UFD721004 UOZ721004 UYV721004 VIR721004 VSN721004 WCJ721004 WMF721004 WWB721004 T786540 JP786540 TL786540 ADH786540 AND786540 AWZ786540 BGV786540 BQR786540 CAN786540 CKJ786540 CUF786540 DEB786540 DNX786540 DXT786540 EHP786540 ERL786540 FBH786540 FLD786540 FUZ786540 GEV786540 GOR786540 GYN786540 HIJ786540 HSF786540 ICB786540 ILX786540 IVT786540 JFP786540 JPL786540 JZH786540 KJD786540 KSZ786540 LCV786540 LMR786540 LWN786540 MGJ786540 MQF786540 NAB786540 NJX786540 NTT786540 ODP786540 ONL786540 OXH786540 PHD786540 PQZ786540 QAV786540 QKR786540 QUN786540 REJ786540 ROF786540 RYB786540 SHX786540 SRT786540 TBP786540 TLL786540 TVH786540 UFD786540 UOZ786540 UYV786540 VIR786540 VSN786540 WCJ786540 WMF786540 WWB786540 T852076 JP852076 TL852076 ADH852076 AND852076 AWZ852076 BGV852076 BQR852076 CAN852076 CKJ852076 CUF852076 DEB852076 DNX852076 DXT852076 EHP852076 ERL852076 FBH852076 FLD852076 FUZ852076 GEV852076 GOR852076 GYN852076 HIJ852076 HSF852076 ICB852076 ILX852076 IVT852076 JFP852076 JPL852076 JZH852076 KJD852076 KSZ852076 LCV852076 LMR852076 LWN852076 MGJ852076 MQF852076 NAB852076 NJX852076 NTT852076 ODP852076 ONL852076 OXH852076 PHD852076 PQZ852076 QAV852076 QKR852076 QUN852076 REJ852076 ROF852076 RYB852076 SHX852076 SRT852076 TBP852076 TLL852076 TVH852076 UFD852076 UOZ852076 UYV852076 VIR852076 VSN852076 WCJ852076 WMF852076 WWB852076 T917612 JP917612 TL917612 ADH917612 AND917612 AWZ917612 BGV917612 BQR917612 CAN917612 CKJ917612 CUF917612 DEB917612 DNX917612 DXT917612 EHP917612 ERL917612 FBH917612 FLD917612 FUZ917612 GEV917612 GOR917612 GYN917612 HIJ917612 HSF917612 ICB917612 ILX917612 IVT917612 JFP917612 JPL917612 JZH917612 KJD917612 KSZ917612 LCV917612 LMR917612 LWN917612 MGJ917612 MQF917612 NAB917612 NJX917612 NTT917612 ODP917612 ONL917612 OXH917612 PHD917612 PQZ917612 QAV917612 QKR917612 QUN917612 REJ917612 ROF917612 RYB917612 SHX917612 SRT917612 TBP917612 TLL917612 TVH917612 UFD917612 UOZ917612 UYV917612 VIR917612 VSN917612 WCJ917612 WMF917612 WWB917612 T983148 JP983148 TL983148 ADH983148 AND983148 AWZ983148 BGV983148 BQR983148 CAN983148 CKJ983148 CUF983148 DEB983148 DNX983148 DXT983148 EHP983148 ERL983148 FBH983148 FLD983148 FUZ983148 GEV983148 GOR983148 GYN983148 HIJ983148 HSF983148 ICB983148 ILX983148 IVT983148 JFP983148 JPL983148 JZH983148 KJD983148 KSZ983148 LCV983148 LMR983148 LWN983148 MGJ983148 MQF983148 NAB983148 NJX983148 NTT983148 ODP983148 ONL983148 OXH983148 PHD983148 PQZ983148 QAV983148 QKR983148 QUN983148 REJ983148 ROF983148 RYB983148 SHX983148 SRT983148 TBP983148 TLL983148 TVH983148 UFD983148 UOZ983148 UYV983148 VIR983148 VSN983148 WCJ983148 WMF983148 T114" xr:uid="{00000000-0002-0000-0400-000003000000}"/>
    <dataValidation allowBlank="1" showInputMessage="1" showErrorMessage="1" prompt="Bộ Quốc phòng_x000a_" sqref="WVY983077 JM57 TI57 ADE57 ANA57 AWW57 BGS57 BQO57 CAK57 CKG57 CUC57 DDY57 DNU57 DXQ57 EHM57 ERI57 FBE57 FLA57 FUW57 GES57 GOO57 GYK57 HIG57 HSC57 IBY57 ILU57 IVQ57 JFM57 JPI57 JZE57 KJA57 KSW57 LCS57 LMO57 LWK57 MGG57 MQC57 MZY57 NJU57 NTQ57 ODM57 ONI57 OXE57 PHA57 PQW57 QAS57 QKO57 QUK57 REG57 ROC57 RXY57 SHU57 SRQ57 TBM57 TLI57 TVE57 UFA57 UOW57 UYS57 VIO57 VSK57 WCG57 WMC57 WVY57 Q65573 JM65573 TI65573 ADE65573 ANA65573 AWW65573 BGS65573 BQO65573 CAK65573 CKG65573 CUC65573 DDY65573 DNU65573 DXQ65573 EHM65573 ERI65573 FBE65573 FLA65573 FUW65573 GES65573 GOO65573 GYK65573 HIG65573 HSC65573 IBY65573 ILU65573 IVQ65573 JFM65573 JPI65573 JZE65573 KJA65573 KSW65573 LCS65573 LMO65573 LWK65573 MGG65573 MQC65573 MZY65573 NJU65573 NTQ65573 ODM65573 ONI65573 OXE65573 PHA65573 PQW65573 QAS65573 QKO65573 QUK65573 REG65573 ROC65573 RXY65573 SHU65573 SRQ65573 TBM65573 TLI65573 TVE65573 UFA65573 UOW65573 UYS65573 VIO65573 VSK65573 WCG65573 WMC65573 WVY65573 Q131109 JM131109 TI131109 ADE131109 ANA131109 AWW131109 BGS131109 BQO131109 CAK131109 CKG131109 CUC131109 DDY131109 DNU131109 DXQ131109 EHM131109 ERI131109 FBE131109 FLA131109 FUW131109 GES131109 GOO131109 GYK131109 HIG131109 HSC131109 IBY131109 ILU131109 IVQ131109 JFM131109 JPI131109 JZE131109 KJA131109 KSW131109 LCS131109 LMO131109 LWK131109 MGG131109 MQC131109 MZY131109 NJU131109 NTQ131109 ODM131109 ONI131109 OXE131109 PHA131109 PQW131109 QAS131109 QKO131109 QUK131109 REG131109 ROC131109 RXY131109 SHU131109 SRQ131109 TBM131109 TLI131109 TVE131109 UFA131109 UOW131109 UYS131109 VIO131109 VSK131109 WCG131109 WMC131109 WVY131109 Q196645 JM196645 TI196645 ADE196645 ANA196645 AWW196645 BGS196645 BQO196645 CAK196645 CKG196645 CUC196645 DDY196645 DNU196645 DXQ196645 EHM196645 ERI196645 FBE196645 FLA196645 FUW196645 GES196645 GOO196645 GYK196645 HIG196645 HSC196645 IBY196645 ILU196645 IVQ196645 JFM196645 JPI196645 JZE196645 KJA196645 KSW196645 LCS196645 LMO196645 LWK196645 MGG196645 MQC196645 MZY196645 NJU196645 NTQ196645 ODM196645 ONI196645 OXE196645 PHA196645 PQW196645 QAS196645 QKO196645 QUK196645 REG196645 ROC196645 RXY196645 SHU196645 SRQ196645 TBM196645 TLI196645 TVE196645 UFA196645 UOW196645 UYS196645 VIO196645 VSK196645 WCG196645 WMC196645 WVY196645 Q262181 JM262181 TI262181 ADE262181 ANA262181 AWW262181 BGS262181 BQO262181 CAK262181 CKG262181 CUC262181 DDY262181 DNU262181 DXQ262181 EHM262181 ERI262181 FBE262181 FLA262181 FUW262181 GES262181 GOO262181 GYK262181 HIG262181 HSC262181 IBY262181 ILU262181 IVQ262181 JFM262181 JPI262181 JZE262181 KJA262181 KSW262181 LCS262181 LMO262181 LWK262181 MGG262181 MQC262181 MZY262181 NJU262181 NTQ262181 ODM262181 ONI262181 OXE262181 PHA262181 PQW262181 QAS262181 QKO262181 QUK262181 REG262181 ROC262181 RXY262181 SHU262181 SRQ262181 TBM262181 TLI262181 TVE262181 UFA262181 UOW262181 UYS262181 VIO262181 VSK262181 WCG262181 WMC262181 WVY262181 Q327717 JM327717 TI327717 ADE327717 ANA327717 AWW327717 BGS327717 BQO327717 CAK327717 CKG327717 CUC327717 DDY327717 DNU327717 DXQ327717 EHM327717 ERI327717 FBE327717 FLA327717 FUW327717 GES327717 GOO327717 GYK327717 HIG327717 HSC327717 IBY327717 ILU327717 IVQ327717 JFM327717 JPI327717 JZE327717 KJA327717 KSW327717 LCS327717 LMO327717 LWK327717 MGG327717 MQC327717 MZY327717 NJU327717 NTQ327717 ODM327717 ONI327717 OXE327717 PHA327717 PQW327717 QAS327717 QKO327717 QUK327717 REG327717 ROC327717 RXY327717 SHU327717 SRQ327717 TBM327717 TLI327717 TVE327717 UFA327717 UOW327717 UYS327717 VIO327717 VSK327717 WCG327717 WMC327717 WVY327717 Q393253 JM393253 TI393253 ADE393253 ANA393253 AWW393253 BGS393253 BQO393253 CAK393253 CKG393253 CUC393253 DDY393253 DNU393253 DXQ393253 EHM393253 ERI393253 FBE393253 FLA393253 FUW393253 GES393253 GOO393253 GYK393253 HIG393253 HSC393253 IBY393253 ILU393253 IVQ393253 JFM393253 JPI393253 JZE393253 KJA393253 KSW393253 LCS393253 LMO393253 LWK393253 MGG393253 MQC393253 MZY393253 NJU393253 NTQ393253 ODM393253 ONI393253 OXE393253 PHA393253 PQW393253 QAS393253 QKO393253 QUK393253 REG393253 ROC393253 RXY393253 SHU393253 SRQ393253 TBM393253 TLI393253 TVE393253 UFA393253 UOW393253 UYS393253 VIO393253 VSK393253 WCG393253 WMC393253 WVY393253 Q458789 JM458789 TI458789 ADE458789 ANA458789 AWW458789 BGS458789 BQO458789 CAK458789 CKG458789 CUC458789 DDY458789 DNU458789 DXQ458789 EHM458789 ERI458789 FBE458789 FLA458789 FUW458789 GES458789 GOO458789 GYK458789 HIG458789 HSC458789 IBY458789 ILU458789 IVQ458789 JFM458789 JPI458789 JZE458789 KJA458789 KSW458789 LCS458789 LMO458789 LWK458789 MGG458789 MQC458789 MZY458789 NJU458789 NTQ458789 ODM458789 ONI458789 OXE458789 PHA458789 PQW458789 QAS458789 QKO458789 QUK458789 REG458789 ROC458789 RXY458789 SHU458789 SRQ458789 TBM458789 TLI458789 TVE458789 UFA458789 UOW458789 UYS458789 VIO458789 VSK458789 WCG458789 WMC458789 WVY458789 Q524325 JM524325 TI524325 ADE524325 ANA524325 AWW524325 BGS524325 BQO524325 CAK524325 CKG524325 CUC524325 DDY524325 DNU524325 DXQ524325 EHM524325 ERI524325 FBE524325 FLA524325 FUW524325 GES524325 GOO524325 GYK524325 HIG524325 HSC524325 IBY524325 ILU524325 IVQ524325 JFM524325 JPI524325 JZE524325 KJA524325 KSW524325 LCS524325 LMO524325 LWK524325 MGG524325 MQC524325 MZY524325 NJU524325 NTQ524325 ODM524325 ONI524325 OXE524325 PHA524325 PQW524325 QAS524325 QKO524325 QUK524325 REG524325 ROC524325 RXY524325 SHU524325 SRQ524325 TBM524325 TLI524325 TVE524325 UFA524325 UOW524325 UYS524325 VIO524325 VSK524325 WCG524325 WMC524325 WVY524325 Q589861 JM589861 TI589861 ADE589861 ANA589861 AWW589861 BGS589861 BQO589861 CAK589861 CKG589861 CUC589861 DDY589861 DNU589861 DXQ589861 EHM589861 ERI589861 FBE589861 FLA589861 FUW589861 GES589861 GOO589861 GYK589861 HIG589861 HSC589861 IBY589861 ILU589861 IVQ589861 JFM589861 JPI589861 JZE589861 KJA589861 KSW589861 LCS589861 LMO589861 LWK589861 MGG589861 MQC589861 MZY589861 NJU589861 NTQ589861 ODM589861 ONI589861 OXE589861 PHA589861 PQW589861 QAS589861 QKO589861 QUK589861 REG589861 ROC589861 RXY589861 SHU589861 SRQ589861 TBM589861 TLI589861 TVE589861 UFA589861 UOW589861 UYS589861 VIO589861 VSK589861 WCG589861 WMC589861 WVY589861 Q655397 JM655397 TI655397 ADE655397 ANA655397 AWW655397 BGS655397 BQO655397 CAK655397 CKG655397 CUC655397 DDY655397 DNU655397 DXQ655397 EHM655397 ERI655397 FBE655397 FLA655397 FUW655397 GES655397 GOO655397 GYK655397 HIG655397 HSC655397 IBY655397 ILU655397 IVQ655397 JFM655397 JPI655397 JZE655397 KJA655397 KSW655397 LCS655397 LMO655397 LWK655397 MGG655397 MQC655397 MZY655397 NJU655397 NTQ655397 ODM655397 ONI655397 OXE655397 PHA655397 PQW655397 QAS655397 QKO655397 QUK655397 REG655397 ROC655397 RXY655397 SHU655397 SRQ655397 TBM655397 TLI655397 TVE655397 UFA655397 UOW655397 UYS655397 VIO655397 VSK655397 WCG655397 WMC655397 WVY655397 Q720933 JM720933 TI720933 ADE720933 ANA720933 AWW720933 BGS720933 BQO720933 CAK720933 CKG720933 CUC720933 DDY720933 DNU720933 DXQ720933 EHM720933 ERI720933 FBE720933 FLA720933 FUW720933 GES720933 GOO720933 GYK720933 HIG720933 HSC720933 IBY720933 ILU720933 IVQ720933 JFM720933 JPI720933 JZE720933 KJA720933 KSW720933 LCS720933 LMO720933 LWK720933 MGG720933 MQC720933 MZY720933 NJU720933 NTQ720933 ODM720933 ONI720933 OXE720933 PHA720933 PQW720933 QAS720933 QKO720933 QUK720933 REG720933 ROC720933 RXY720933 SHU720933 SRQ720933 TBM720933 TLI720933 TVE720933 UFA720933 UOW720933 UYS720933 VIO720933 VSK720933 WCG720933 WMC720933 WVY720933 Q786469 JM786469 TI786469 ADE786469 ANA786469 AWW786469 BGS786469 BQO786469 CAK786469 CKG786469 CUC786469 DDY786469 DNU786469 DXQ786469 EHM786469 ERI786469 FBE786469 FLA786469 FUW786469 GES786469 GOO786469 GYK786469 HIG786469 HSC786469 IBY786469 ILU786469 IVQ786469 JFM786469 JPI786469 JZE786469 KJA786469 KSW786469 LCS786469 LMO786469 LWK786469 MGG786469 MQC786469 MZY786469 NJU786469 NTQ786469 ODM786469 ONI786469 OXE786469 PHA786469 PQW786469 QAS786469 QKO786469 QUK786469 REG786469 ROC786469 RXY786469 SHU786469 SRQ786469 TBM786469 TLI786469 TVE786469 UFA786469 UOW786469 UYS786469 VIO786469 VSK786469 WCG786469 WMC786469 WVY786469 Q852005 JM852005 TI852005 ADE852005 ANA852005 AWW852005 BGS852005 BQO852005 CAK852005 CKG852005 CUC852005 DDY852005 DNU852005 DXQ852005 EHM852005 ERI852005 FBE852005 FLA852005 FUW852005 GES852005 GOO852005 GYK852005 HIG852005 HSC852005 IBY852005 ILU852005 IVQ852005 JFM852005 JPI852005 JZE852005 KJA852005 KSW852005 LCS852005 LMO852005 LWK852005 MGG852005 MQC852005 MZY852005 NJU852005 NTQ852005 ODM852005 ONI852005 OXE852005 PHA852005 PQW852005 QAS852005 QKO852005 QUK852005 REG852005 ROC852005 RXY852005 SHU852005 SRQ852005 TBM852005 TLI852005 TVE852005 UFA852005 UOW852005 UYS852005 VIO852005 VSK852005 WCG852005 WMC852005 WVY852005 Q917541 JM917541 TI917541 ADE917541 ANA917541 AWW917541 BGS917541 BQO917541 CAK917541 CKG917541 CUC917541 DDY917541 DNU917541 DXQ917541 EHM917541 ERI917541 FBE917541 FLA917541 FUW917541 GES917541 GOO917541 GYK917541 HIG917541 HSC917541 IBY917541 ILU917541 IVQ917541 JFM917541 JPI917541 JZE917541 KJA917541 KSW917541 LCS917541 LMO917541 LWK917541 MGG917541 MQC917541 MZY917541 NJU917541 NTQ917541 ODM917541 ONI917541 OXE917541 PHA917541 PQW917541 QAS917541 QKO917541 QUK917541 REG917541 ROC917541 RXY917541 SHU917541 SRQ917541 TBM917541 TLI917541 TVE917541 UFA917541 UOW917541 UYS917541 VIO917541 VSK917541 WCG917541 WMC917541 WVY917541 Q983077 JM983077 TI983077 ADE983077 ANA983077 AWW983077 BGS983077 BQO983077 CAK983077 CKG983077 CUC983077 DDY983077 DNU983077 DXQ983077 EHM983077 ERI983077 FBE983077 FLA983077 FUW983077 GES983077 GOO983077 GYK983077 HIG983077 HSC983077 IBY983077 ILU983077 IVQ983077 JFM983077 JPI983077 JZE983077 KJA983077 KSW983077 LCS983077 LMO983077 LWK983077 MGG983077 MQC983077 MZY983077 NJU983077 NTQ983077 ODM983077 ONI983077 OXE983077 PHA983077 PQW983077 QAS983077 QKO983077 QUK983077 REG983077 ROC983077 RXY983077 SHU983077 SRQ983077 TBM983077 TLI983077 TVE983077 UFA983077 UOW983077 UYS983077 VIO983077 VSK983077 WCG983077 WMC983077" xr:uid="{00000000-0002-0000-0400-000004000000}"/>
    <dataValidation allowBlank="1" showInputMessage="1" showErrorMessage="1" prompt="_x000a_" sqref="WVW983070 JK38 TG38 ADC38 AMY38 AWU38 BGQ38 BQM38 CAI38 CKE38 CUA38 DDW38 DNS38 DXO38 EHK38 ERG38 FBC38 FKY38 FUU38 GEQ38 GOM38 GYI38 HIE38 HSA38 IBW38 ILS38 IVO38 JFK38 JPG38 JZC38 KIY38 KSU38 LCQ38 LMM38 LWI38 MGE38 MQA38 MZW38 NJS38 NTO38 ODK38 ONG38 OXC38 PGY38 PQU38 QAQ38 QKM38 QUI38 REE38 ROA38 RXW38 SHS38 SRO38 TBK38 TLG38 TVC38 UEY38 UOU38 UYQ38 VIM38 VSI38 WCE38 WMA38 WVW38 O65566 JK65566 TG65566 ADC65566 AMY65566 AWU65566 BGQ65566 BQM65566 CAI65566 CKE65566 CUA65566 DDW65566 DNS65566 DXO65566 EHK65566 ERG65566 FBC65566 FKY65566 FUU65566 GEQ65566 GOM65566 GYI65566 HIE65566 HSA65566 IBW65566 ILS65566 IVO65566 JFK65566 JPG65566 JZC65566 KIY65566 KSU65566 LCQ65566 LMM65566 LWI65566 MGE65566 MQA65566 MZW65566 NJS65566 NTO65566 ODK65566 ONG65566 OXC65566 PGY65566 PQU65566 QAQ65566 QKM65566 QUI65566 REE65566 ROA65566 RXW65566 SHS65566 SRO65566 TBK65566 TLG65566 TVC65566 UEY65566 UOU65566 UYQ65566 VIM65566 VSI65566 WCE65566 WMA65566 WVW65566 O131102 JK131102 TG131102 ADC131102 AMY131102 AWU131102 BGQ131102 BQM131102 CAI131102 CKE131102 CUA131102 DDW131102 DNS131102 DXO131102 EHK131102 ERG131102 FBC131102 FKY131102 FUU131102 GEQ131102 GOM131102 GYI131102 HIE131102 HSA131102 IBW131102 ILS131102 IVO131102 JFK131102 JPG131102 JZC131102 KIY131102 KSU131102 LCQ131102 LMM131102 LWI131102 MGE131102 MQA131102 MZW131102 NJS131102 NTO131102 ODK131102 ONG131102 OXC131102 PGY131102 PQU131102 QAQ131102 QKM131102 QUI131102 REE131102 ROA131102 RXW131102 SHS131102 SRO131102 TBK131102 TLG131102 TVC131102 UEY131102 UOU131102 UYQ131102 VIM131102 VSI131102 WCE131102 WMA131102 WVW131102 O196638 JK196638 TG196638 ADC196638 AMY196638 AWU196638 BGQ196638 BQM196638 CAI196638 CKE196638 CUA196638 DDW196638 DNS196638 DXO196638 EHK196638 ERG196638 FBC196638 FKY196638 FUU196638 GEQ196638 GOM196638 GYI196638 HIE196638 HSA196638 IBW196638 ILS196638 IVO196638 JFK196638 JPG196638 JZC196638 KIY196638 KSU196638 LCQ196638 LMM196638 LWI196638 MGE196638 MQA196638 MZW196638 NJS196638 NTO196638 ODK196638 ONG196638 OXC196638 PGY196638 PQU196638 QAQ196638 QKM196638 QUI196638 REE196638 ROA196638 RXW196638 SHS196638 SRO196638 TBK196638 TLG196638 TVC196638 UEY196638 UOU196638 UYQ196638 VIM196638 VSI196638 WCE196638 WMA196638 WVW196638 O262174 JK262174 TG262174 ADC262174 AMY262174 AWU262174 BGQ262174 BQM262174 CAI262174 CKE262174 CUA262174 DDW262174 DNS262174 DXO262174 EHK262174 ERG262174 FBC262174 FKY262174 FUU262174 GEQ262174 GOM262174 GYI262174 HIE262174 HSA262174 IBW262174 ILS262174 IVO262174 JFK262174 JPG262174 JZC262174 KIY262174 KSU262174 LCQ262174 LMM262174 LWI262174 MGE262174 MQA262174 MZW262174 NJS262174 NTO262174 ODK262174 ONG262174 OXC262174 PGY262174 PQU262174 QAQ262174 QKM262174 QUI262174 REE262174 ROA262174 RXW262174 SHS262174 SRO262174 TBK262174 TLG262174 TVC262174 UEY262174 UOU262174 UYQ262174 VIM262174 VSI262174 WCE262174 WMA262174 WVW262174 O327710 JK327710 TG327710 ADC327710 AMY327710 AWU327710 BGQ327710 BQM327710 CAI327710 CKE327710 CUA327710 DDW327710 DNS327710 DXO327710 EHK327710 ERG327710 FBC327710 FKY327710 FUU327710 GEQ327710 GOM327710 GYI327710 HIE327710 HSA327710 IBW327710 ILS327710 IVO327710 JFK327710 JPG327710 JZC327710 KIY327710 KSU327710 LCQ327710 LMM327710 LWI327710 MGE327710 MQA327710 MZW327710 NJS327710 NTO327710 ODK327710 ONG327710 OXC327710 PGY327710 PQU327710 QAQ327710 QKM327710 QUI327710 REE327710 ROA327710 RXW327710 SHS327710 SRO327710 TBK327710 TLG327710 TVC327710 UEY327710 UOU327710 UYQ327710 VIM327710 VSI327710 WCE327710 WMA327710 WVW327710 O393246 JK393246 TG393246 ADC393246 AMY393246 AWU393246 BGQ393246 BQM393246 CAI393246 CKE393246 CUA393246 DDW393246 DNS393246 DXO393246 EHK393246 ERG393246 FBC393246 FKY393246 FUU393246 GEQ393246 GOM393246 GYI393246 HIE393246 HSA393246 IBW393246 ILS393246 IVO393246 JFK393246 JPG393246 JZC393246 KIY393246 KSU393246 LCQ393246 LMM393246 LWI393246 MGE393246 MQA393246 MZW393246 NJS393246 NTO393246 ODK393246 ONG393246 OXC393246 PGY393246 PQU393246 QAQ393246 QKM393246 QUI393246 REE393246 ROA393246 RXW393246 SHS393246 SRO393246 TBK393246 TLG393246 TVC393246 UEY393246 UOU393246 UYQ393246 VIM393246 VSI393246 WCE393246 WMA393246 WVW393246 O458782 JK458782 TG458782 ADC458782 AMY458782 AWU458782 BGQ458782 BQM458782 CAI458782 CKE458782 CUA458782 DDW458782 DNS458782 DXO458782 EHK458782 ERG458782 FBC458782 FKY458782 FUU458782 GEQ458782 GOM458782 GYI458782 HIE458782 HSA458782 IBW458782 ILS458782 IVO458782 JFK458782 JPG458782 JZC458782 KIY458782 KSU458782 LCQ458782 LMM458782 LWI458782 MGE458782 MQA458782 MZW458782 NJS458782 NTO458782 ODK458782 ONG458782 OXC458782 PGY458782 PQU458782 QAQ458782 QKM458782 QUI458782 REE458782 ROA458782 RXW458782 SHS458782 SRO458782 TBK458782 TLG458782 TVC458782 UEY458782 UOU458782 UYQ458782 VIM458782 VSI458782 WCE458782 WMA458782 WVW458782 O524318 JK524318 TG524318 ADC524318 AMY524318 AWU524318 BGQ524318 BQM524318 CAI524318 CKE524318 CUA524318 DDW524318 DNS524318 DXO524318 EHK524318 ERG524318 FBC524318 FKY524318 FUU524318 GEQ524318 GOM524318 GYI524318 HIE524318 HSA524318 IBW524318 ILS524318 IVO524318 JFK524318 JPG524318 JZC524318 KIY524318 KSU524318 LCQ524318 LMM524318 LWI524318 MGE524318 MQA524318 MZW524318 NJS524318 NTO524318 ODK524318 ONG524318 OXC524318 PGY524318 PQU524318 QAQ524318 QKM524318 QUI524318 REE524318 ROA524318 RXW524318 SHS524318 SRO524318 TBK524318 TLG524318 TVC524318 UEY524318 UOU524318 UYQ524318 VIM524318 VSI524318 WCE524318 WMA524318 WVW524318 O589854 JK589854 TG589854 ADC589854 AMY589854 AWU589854 BGQ589854 BQM589854 CAI589854 CKE589854 CUA589854 DDW589854 DNS589854 DXO589854 EHK589854 ERG589854 FBC589854 FKY589854 FUU589854 GEQ589854 GOM589854 GYI589854 HIE589854 HSA589854 IBW589854 ILS589854 IVO589854 JFK589854 JPG589854 JZC589854 KIY589854 KSU589854 LCQ589854 LMM589854 LWI589854 MGE589854 MQA589854 MZW589854 NJS589854 NTO589854 ODK589854 ONG589854 OXC589854 PGY589854 PQU589854 QAQ589854 QKM589854 QUI589854 REE589854 ROA589854 RXW589854 SHS589854 SRO589854 TBK589854 TLG589854 TVC589854 UEY589854 UOU589854 UYQ589854 VIM589854 VSI589854 WCE589854 WMA589854 WVW589854 O655390 JK655390 TG655390 ADC655390 AMY655390 AWU655390 BGQ655390 BQM655390 CAI655390 CKE655390 CUA655390 DDW655390 DNS655390 DXO655390 EHK655390 ERG655390 FBC655390 FKY655390 FUU655390 GEQ655390 GOM655390 GYI655390 HIE655390 HSA655390 IBW655390 ILS655390 IVO655390 JFK655390 JPG655390 JZC655390 KIY655390 KSU655390 LCQ655390 LMM655390 LWI655390 MGE655390 MQA655390 MZW655390 NJS655390 NTO655390 ODK655390 ONG655390 OXC655390 PGY655390 PQU655390 QAQ655390 QKM655390 QUI655390 REE655390 ROA655390 RXW655390 SHS655390 SRO655390 TBK655390 TLG655390 TVC655390 UEY655390 UOU655390 UYQ655390 VIM655390 VSI655390 WCE655390 WMA655390 WVW655390 O720926 JK720926 TG720926 ADC720926 AMY720926 AWU720926 BGQ720926 BQM720926 CAI720926 CKE720926 CUA720926 DDW720926 DNS720926 DXO720926 EHK720926 ERG720926 FBC720926 FKY720926 FUU720926 GEQ720926 GOM720926 GYI720926 HIE720926 HSA720926 IBW720926 ILS720926 IVO720926 JFK720926 JPG720926 JZC720926 KIY720926 KSU720926 LCQ720926 LMM720926 LWI720926 MGE720926 MQA720926 MZW720926 NJS720926 NTO720926 ODK720926 ONG720926 OXC720926 PGY720926 PQU720926 QAQ720926 QKM720926 QUI720926 REE720926 ROA720926 RXW720926 SHS720926 SRO720926 TBK720926 TLG720926 TVC720926 UEY720926 UOU720926 UYQ720926 VIM720926 VSI720926 WCE720926 WMA720926 WVW720926 O786462 JK786462 TG786462 ADC786462 AMY786462 AWU786462 BGQ786462 BQM786462 CAI786462 CKE786462 CUA786462 DDW786462 DNS786462 DXO786462 EHK786462 ERG786462 FBC786462 FKY786462 FUU786462 GEQ786462 GOM786462 GYI786462 HIE786462 HSA786462 IBW786462 ILS786462 IVO786462 JFK786462 JPG786462 JZC786462 KIY786462 KSU786462 LCQ786462 LMM786462 LWI786462 MGE786462 MQA786462 MZW786462 NJS786462 NTO786462 ODK786462 ONG786462 OXC786462 PGY786462 PQU786462 QAQ786462 QKM786462 QUI786462 REE786462 ROA786462 RXW786462 SHS786462 SRO786462 TBK786462 TLG786462 TVC786462 UEY786462 UOU786462 UYQ786462 VIM786462 VSI786462 WCE786462 WMA786462 WVW786462 O851998 JK851998 TG851998 ADC851998 AMY851998 AWU851998 BGQ851998 BQM851998 CAI851998 CKE851998 CUA851998 DDW851998 DNS851998 DXO851998 EHK851998 ERG851998 FBC851998 FKY851998 FUU851998 GEQ851998 GOM851998 GYI851998 HIE851998 HSA851998 IBW851998 ILS851998 IVO851998 JFK851998 JPG851998 JZC851998 KIY851998 KSU851998 LCQ851998 LMM851998 LWI851998 MGE851998 MQA851998 MZW851998 NJS851998 NTO851998 ODK851998 ONG851998 OXC851998 PGY851998 PQU851998 QAQ851998 QKM851998 QUI851998 REE851998 ROA851998 RXW851998 SHS851998 SRO851998 TBK851998 TLG851998 TVC851998 UEY851998 UOU851998 UYQ851998 VIM851998 VSI851998 WCE851998 WMA851998 WVW851998 O917534 JK917534 TG917534 ADC917534 AMY917534 AWU917534 BGQ917534 BQM917534 CAI917534 CKE917534 CUA917534 DDW917534 DNS917534 DXO917534 EHK917534 ERG917534 FBC917534 FKY917534 FUU917534 GEQ917534 GOM917534 GYI917534 HIE917534 HSA917534 IBW917534 ILS917534 IVO917534 JFK917534 JPG917534 JZC917534 KIY917534 KSU917534 LCQ917534 LMM917534 LWI917534 MGE917534 MQA917534 MZW917534 NJS917534 NTO917534 ODK917534 ONG917534 OXC917534 PGY917534 PQU917534 QAQ917534 QKM917534 QUI917534 REE917534 ROA917534 RXW917534 SHS917534 SRO917534 TBK917534 TLG917534 TVC917534 UEY917534 UOU917534 UYQ917534 VIM917534 VSI917534 WCE917534 WMA917534 WVW917534 O983070 JK983070 TG983070 ADC983070 AMY983070 AWU983070 BGQ983070 BQM983070 CAI983070 CKE983070 CUA983070 DDW983070 DNS983070 DXO983070 EHK983070 ERG983070 FBC983070 FKY983070 FUU983070 GEQ983070 GOM983070 GYI983070 HIE983070 HSA983070 IBW983070 ILS983070 IVO983070 JFK983070 JPG983070 JZC983070 KIY983070 KSU983070 LCQ983070 LMM983070 LWI983070 MGE983070 MQA983070 MZW983070 NJS983070 NTO983070 ODK983070 ONG983070 OXC983070 PGY983070 PQU983070 QAQ983070 QKM983070 QUI983070 REE983070 ROA983070 RXW983070 SHS983070 SRO983070 TBK983070 TLG983070 TVC983070 UEY983070 UOU983070 UYQ983070 VIM983070 VSI983070 WCE983070 WMA983070 O36" xr:uid="{00000000-0002-0000-0400-000005000000}"/>
  </dataValidations>
  <printOptions horizontalCentered="1"/>
  <pageMargins left="0" right="0" top="0.75" bottom="0.5" header="0.3" footer="0.3"/>
  <pageSetup paperSize="9" scale="43" orientation="landscape"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W48"/>
  <sheetViews>
    <sheetView zoomScale="80" zoomScaleNormal="80" workbookViewId="0">
      <selection activeCell="A4" sqref="A4:T4"/>
    </sheetView>
  </sheetViews>
  <sheetFormatPr defaultColWidth="9.140625" defaultRowHeight="15" x14ac:dyDescent="0.25"/>
  <cols>
    <col min="1" max="1" width="6.42578125" style="49" customWidth="1"/>
    <col min="2" max="2" width="20.42578125" style="49" customWidth="1"/>
    <col min="3" max="3" width="12.42578125" style="49" customWidth="1"/>
    <col min="4" max="5" width="12.85546875" style="49" customWidth="1"/>
    <col min="6" max="7" width="10.5703125" style="49" customWidth="1"/>
    <col min="8" max="8" width="10.42578125" style="49" customWidth="1"/>
    <col min="9" max="9" width="12.42578125" style="49" customWidth="1"/>
    <col min="10" max="10" width="13.42578125" style="49" customWidth="1"/>
    <col min="11" max="11" width="12" style="49" customWidth="1"/>
    <col min="12" max="12" width="11.42578125" style="49" customWidth="1"/>
    <col min="13" max="13" width="11" style="49" customWidth="1"/>
    <col min="14" max="14" width="11.42578125" style="49" customWidth="1"/>
    <col min="15" max="15" width="7.42578125" style="49" customWidth="1"/>
    <col min="16" max="16" width="8.5703125" style="49" customWidth="1"/>
    <col min="17" max="17" width="9" style="49" customWidth="1"/>
    <col min="18" max="18" width="8.5703125" style="49" customWidth="1"/>
    <col min="19" max="19" width="10.42578125" style="49" customWidth="1"/>
    <col min="20" max="20" width="8.28515625" style="49" customWidth="1"/>
    <col min="21" max="22" width="9.140625" style="49"/>
    <col min="23" max="23" width="9.42578125" style="49" bestFit="1" customWidth="1"/>
    <col min="24" max="16384" width="9.140625" style="49"/>
  </cols>
  <sheetData>
    <row r="1" spans="1:23" s="9" customFormat="1" ht="15.75" x14ac:dyDescent="0.25">
      <c r="A1" s="15"/>
      <c r="R1" s="15" t="s">
        <v>105</v>
      </c>
    </row>
    <row r="2" spans="1:23" s="9" customFormat="1" ht="15.75" x14ac:dyDescent="0.25">
      <c r="A2" s="119"/>
    </row>
    <row r="3" spans="1:23" s="9" customFormat="1" ht="16.5" x14ac:dyDescent="0.25">
      <c r="A3" s="318" t="s">
        <v>673</v>
      </c>
      <c r="B3" s="318"/>
      <c r="C3" s="318"/>
      <c r="D3" s="318"/>
      <c r="E3" s="318"/>
      <c r="F3" s="318"/>
      <c r="G3" s="318"/>
      <c r="H3" s="318"/>
      <c r="I3" s="318"/>
      <c r="J3" s="318"/>
      <c r="K3" s="318"/>
      <c r="L3" s="318"/>
      <c r="M3" s="318"/>
      <c r="N3" s="318"/>
      <c r="O3" s="318"/>
      <c r="P3" s="318"/>
      <c r="Q3" s="318"/>
      <c r="R3" s="318"/>
      <c r="S3" s="318"/>
      <c r="T3" s="318"/>
    </row>
    <row r="4" spans="1:23" s="9" customFormat="1" ht="15.75" x14ac:dyDescent="0.25">
      <c r="A4" s="319" t="s">
        <v>708</v>
      </c>
      <c r="B4" s="319"/>
      <c r="C4" s="319"/>
      <c r="D4" s="319"/>
      <c r="E4" s="319"/>
      <c r="F4" s="319"/>
      <c r="G4" s="319"/>
      <c r="H4" s="319"/>
      <c r="I4" s="319"/>
      <c r="J4" s="319"/>
      <c r="K4" s="319"/>
      <c r="L4" s="319"/>
      <c r="M4" s="319"/>
      <c r="N4" s="319"/>
      <c r="O4" s="319"/>
      <c r="P4" s="319"/>
      <c r="Q4" s="319"/>
      <c r="R4" s="319"/>
      <c r="S4" s="319"/>
      <c r="T4" s="319"/>
    </row>
    <row r="5" spans="1:23" s="9" customFormat="1" ht="15.75" x14ac:dyDescent="0.25">
      <c r="B5" s="20"/>
      <c r="C5" s="10"/>
      <c r="D5" s="6"/>
      <c r="I5" s="6"/>
      <c r="J5" s="6"/>
      <c r="S5" s="120" t="s">
        <v>1</v>
      </c>
    </row>
    <row r="6" spans="1:23" s="26" customFormat="1" ht="15.75" x14ac:dyDescent="0.25">
      <c r="A6" s="336" t="s">
        <v>2</v>
      </c>
      <c r="B6" s="336" t="s">
        <v>106</v>
      </c>
      <c r="C6" s="336" t="s">
        <v>150</v>
      </c>
      <c r="D6" s="336"/>
      <c r="E6" s="336"/>
      <c r="F6" s="336"/>
      <c r="G6" s="336"/>
      <c r="H6" s="336"/>
      <c r="I6" s="336" t="s">
        <v>151</v>
      </c>
      <c r="J6" s="336"/>
      <c r="K6" s="336"/>
      <c r="L6" s="336"/>
      <c r="M6" s="336"/>
      <c r="N6" s="336"/>
      <c r="O6" s="336" t="s">
        <v>109</v>
      </c>
      <c r="P6" s="336"/>
      <c r="Q6" s="336"/>
      <c r="R6" s="336"/>
      <c r="S6" s="336"/>
      <c r="T6" s="336"/>
    </row>
    <row r="7" spans="1:23" s="26" customFormat="1" ht="15.75" x14ac:dyDescent="0.25">
      <c r="A7" s="336"/>
      <c r="B7" s="336"/>
      <c r="C7" s="336" t="s">
        <v>110</v>
      </c>
      <c r="D7" s="336" t="s">
        <v>111</v>
      </c>
      <c r="E7" s="336" t="s">
        <v>112</v>
      </c>
      <c r="F7" s="336"/>
      <c r="G7" s="336"/>
      <c r="H7" s="336"/>
      <c r="I7" s="336" t="s">
        <v>110</v>
      </c>
      <c r="J7" s="336" t="s">
        <v>111</v>
      </c>
      <c r="K7" s="336" t="s">
        <v>112</v>
      </c>
      <c r="L7" s="336"/>
      <c r="M7" s="336"/>
      <c r="N7" s="336"/>
      <c r="O7" s="336" t="s">
        <v>110</v>
      </c>
      <c r="P7" s="336" t="s">
        <v>111</v>
      </c>
      <c r="Q7" s="336" t="s">
        <v>112</v>
      </c>
      <c r="R7" s="336"/>
      <c r="S7" s="336"/>
      <c r="T7" s="336"/>
    </row>
    <row r="8" spans="1:23" s="26" customFormat="1" ht="204.75" customHeight="1" x14ac:dyDescent="0.25">
      <c r="A8" s="336"/>
      <c r="B8" s="336"/>
      <c r="C8" s="336"/>
      <c r="D8" s="336"/>
      <c r="E8" s="115" t="s">
        <v>110</v>
      </c>
      <c r="F8" s="115" t="s">
        <v>113</v>
      </c>
      <c r="G8" s="115" t="s">
        <v>114</v>
      </c>
      <c r="H8" s="115" t="s">
        <v>115</v>
      </c>
      <c r="I8" s="336"/>
      <c r="J8" s="336"/>
      <c r="K8" s="115" t="s">
        <v>110</v>
      </c>
      <c r="L8" s="115" t="s">
        <v>113</v>
      </c>
      <c r="M8" s="115" t="s">
        <v>114</v>
      </c>
      <c r="N8" s="115" t="s">
        <v>115</v>
      </c>
      <c r="O8" s="336"/>
      <c r="P8" s="336"/>
      <c r="Q8" s="115" t="s">
        <v>110</v>
      </c>
      <c r="R8" s="115" t="s">
        <v>113</v>
      </c>
      <c r="S8" s="115" t="s">
        <v>114</v>
      </c>
      <c r="T8" s="115" t="s">
        <v>115</v>
      </c>
    </row>
    <row r="9" spans="1:23" s="9" customFormat="1" ht="31.5" x14ac:dyDescent="0.25">
      <c r="A9" s="116" t="s">
        <v>7</v>
      </c>
      <c r="B9" s="116" t="s">
        <v>8</v>
      </c>
      <c r="C9" s="116">
        <v>1</v>
      </c>
      <c r="D9" s="116">
        <v>2</v>
      </c>
      <c r="E9" s="116">
        <v>3</v>
      </c>
      <c r="F9" s="116">
        <v>4</v>
      </c>
      <c r="G9" s="116">
        <v>5</v>
      </c>
      <c r="H9" s="116">
        <v>6</v>
      </c>
      <c r="I9" s="116">
        <v>7</v>
      </c>
      <c r="J9" s="116">
        <v>8</v>
      </c>
      <c r="K9" s="116">
        <v>9</v>
      </c>
      <c r="L9" s="116">
        <v>10</v>
      </c>
      <c r="M9" s="116">
        <v>11</v>
      </c>
      <c r="N9" s="116">
        <v>12</v>
      </c>
      <c r="O9" s="116" t="s">
        <v>116</v>
      </c>
      <c r="P9" s="116" t="s">
        <v>117</v>
      </c>
      <c r="Q9" s="116" t="s">
        <v>118</v>
      </c>
      <c r="R9" s="116" t="s">
        <v>119</v>
      </c>
      <c r="S9" s="116" t="s">
        <v>120</v>
      </c>
      <c r="T9" s="116" t="s">
        <v>121</v>
      </c>
    </row>
    <row r="10" spans="1:23" s="9" customFormat="1" ht="19.5" customHeight="1" x14ac:dyDescent="0.25">
      <c r="A10" s="3"/>
      <c r="B10" s="3" t="s">
        <v>98</v>
      </c>
      <c r="C10" s="12">
        <f>SUM(C11:C20)</f>
        <v>3662991</v>
      </c>
      <c r="D10" s="12">
        <f t="shared" ref="D10:N10" si="0">SUM(D11:D20)</f>
        <v>2446169</v>
      </c>
      <c r="E10" s="12">
        <f t="shared" si="0"/>
        <v>1216822</v>
      </c>
      <c r="F10" s="12">
        <f t="shared" si="0"/>
        <v>206185</v>
      </c>
      <c r="G10" s="12">
        <f t="shared" si="0"/>
        <v>41833</v>
      </c>
      <c r="H10" s="12">
        <f t="shared" si="0"/>
        <v>968804</v>
      </c>
      <c r="I10" s="12">
        <f t="shared" si="0"/>
        <v>3815518.027952</v>
      </c>
      <c r="J10" s="22">
        <f t="shared" si="0"/>
        <v>2433666.6608320004</v>
      </c>
      <c r="K10" s="22">
        <f t="shared" si="0"/>
        <v>1381851.3671199998</v>
      </c>
      <c r="L10" s="22">
        <f t="shared" si="0"/>
        <v>289904.26726400002</v>
      </c>
      <c r="M10" s="22">
        <f t="shared" si="0"/>
        <v>106159.54153799999</v>
      </c>
      <c r="N10" s="22">
        <f t="shared" si="0"/>
        <v>985787.55831800005</v>
      </c>
      <c r="O10" s="97">
        <f t="shared" ref="O10:S20" si="1">I10/C10%</f>
        <v>104.1640022580454</v>
      </c>
      <c r="P10" s="98">
        <f t="shared" si="1"/>
        <v>99.48890125056775</v>
      </c>
      <c r="Q10" s="12">
        <f t="shared" si="1"/>
        <v>113.56232605261903</v>
      </c>
      <c r="R10" s="12">
        <f t="shared" si="1"/>
        <v>140.60395628391979</v>
      </c>
      <c r="S10" s="12">
        <f t="shared" si="1"/>
        <v>253.76985044821072</v>
      </c>
      <c r="T10" s="98"/>
      <c r="W10" s="6"/>
    </row>
    <row r="11" spans="1:23" s="9" customFormat="1" ht="27.75" customHeight="1" x14ac:dyDescent="0.25">
      <c r="A11" s="32">
        <v>1</v>
      </c>
      <c r="B11" s="31" t="s">
        <v>134</v>
      </c>
      <c r="C11" s="4">
        <f>D11+E11</f>
        <v>424222</v>
      </c>
      <c r="D11" s="4">
        <v>273226</v>
      </c>
      <c r="E11" s="13">
        <f>F11+G11+H11</f>
        <v>150996</v>
      </c>
      <c r="F11" s="13">
        <v>100885</v>
      </c>
      <c r="G11" s="13">
        <v>5642</v>
      </c>
      <c r="H11" s="13">
        <v>44469</v>
      </c>
      <c r="I11" s="13">
        <f>J11+K11</f>
        <v>441320.9</v>
      </c>
      <c r="J11" s="14">
        <v>273226</v>
      </c>
      <c r="K11" s="14">
        <f>L11+M11+N11</f>
        <v>168094.9</v>
      </c>
      <c r="L11" s="14">
        <v>123192.4</v>
      </c>
      <c r="M11" s="14">
        <v>305.5</v>
      </c>
      <c r="N11" s="14">
        <v>44597</v>
      </c>
      <c r="O11" s="23">
        <f t="shared" si="1"/>
        <v>104.03064904696126</v>
      </c>
      <c r="P11" s="5">
        <f t="shared" si="1"/>
        <v>99.999999999999986</v>
      </c>
      <c r="Q11" s="13">
        <f t="shared" si="1"/>
        <v>111.32407480992873</v>
      </c>
      <c r="R11" s="13">
        <f t="shared" si="1"/>
        <v>122.11171135451255</v>
      </c>
      <c r="S11" s="13">
        <f>M11/G11%</f>
        <v>5.4147465437788016</v>
      </c>
      <c r="T11" s="5"/>
      <c r="W11" s="6"/>
    </row>
    <row r="12" spans="1:23" s="9" customFormat="1" ht="15.75" x14ac:dyDescent="0.25">
      <c r="A12" s="32">
        <v>2</v>
      </c>
      <c r="B12" s="31" t="s">
        <v>133</v>
      </c>
      <c r="C12" s="4">
        <f t="shared" ref="C12:C20" si="2">D12+E12</f>
        <v>473235</v>
      </c>
      <c r="D12" s="4">
        <v>371909</v>
      </c>
      <c r="E12" s="13">
        <f t="shared" ref="E12:E20" si="3">F12+G12+H12</f>
        <v>101326</v>
      </c>
      <c r="F12" s="13">
        <v>15100</v>
      </c>
      <c r="G12" s="13">
        <v>3376</v>
      </c>
      <c r="H12" s="13">
        <v>82850</v>
      </c>
      <c r="I12" s="13">
        <f t="shared" ref="I12:I20" si="4">J12+K12</f>
        <v>474808.33816599997</v>
      </c>
      <c r="J12" s="14">
        <v>369999.91258399998</v>
      </c>
      <c r="K12" s="14">
        <f>L12+M12+N12</f>
        <v>104808.425582</v>
      </c>
      <c r="L12" s="14">
        <v>29356.425581999996</v>
      </c>
      <c r="M12" s="14"/>
      <c r="N12" s="14">
        <v>75452</v>
      </c>
      <c r="O12" s="23">
        <f t="shared" si="1"/>
        <v>100.33246445550307</v>
      </c>
      <c r="P12" s="5">
        <f t="shared" si="1"/>
        <v>99.486678887577327</v>
      </c>
      <c r="Q12" s="13">
        <f t="shared" si="1"/>
        <v>103.43685291238181</v>
      </c>
      <c r="R12" s="13">
        <f t="shared" si="1"/>
        <v>194.41341445033109</v>
      </c>
      <c r="S12" s="13">
        <f t="shared" si="1"/>
        <v>0</v>
      </c>
      <c r="T12" s="5"/>
      <c r="W12" s="6"/>
    </row>
    <row r="13" spans="1:23" s="9" customFormat="1" ht="15.75" x14ac:dyDescent="0.25">
      <c r="A13" s="32">
        <v>3</v>
      </c>
      <c r="B13" s="31" t="s">
        <v>135</v>
      </c>
      <c r="C13" s="4">
        <f t="shared" si="2"/>
        <v>346068</v>
      </c>
      <c r="D13" s="4">
        <v>257450</v>
      </c>
      <c r="E13" s="13">
        <f t="shared" si="3"/>
        <v>88618</v>
      </c>
      <c r="F13" s="13">
        <v>14000</v>
      </c>
      <c r="G13" s="13">
        <v>3282</v>
      </c>
      <c r="H13" s="13">
        <v>71336</v>
      </c>
      <c r="I13" s="13">
        <f t="shared" si="4"/>
        <v>361874</v>
      </c>
      <c r="J13" s="14">
        <v>257450</v>
      </c>
      <c r="K13" s="14">
        <f t="shared" ref="K13:K20" si="5">L13+M13+N13</f>
        <v>104424</v>
      </c>
      <c r="L13" s="14">
        <v>26163.441682000004</v>
      </c>
      <c r="M13" s="14">
        <v>9529</v>
      </c>
      <c r="N13" s="14">
        <v>68731.558317999996</v>
      </c>
      <c r="O13" s="23">
        <f t="shared" si="1"/>
        <v>104.56731047077453</v>
      </c>
      <c r="P13" s="5">
        <f t="shared" si="1"/>
        <v>100</v>
      </c>
      <c r="Q13" s="13">
        <f t="shared" si="1"/>
        <v>117.83610553160759</v>
      </c>
      <c r="R13" s="13">
        <f t="shared" si="1"/>
        <v>186.88172630000003</v>
      </c>
      <c r="S13" s="13">
        <f>M13/G13%</f>
        <v>290.34125533211454</v>
      </c>
      <c r="T13" s="5"/>
      <c r="W13" s="6"/>
    </row>
    <row r="14" spans="1:23" s="9" customFormat="1" ht="15.75" x14ac:dyDescent="0.25">
      <c r="A14" s="32">
        <v>4</v>
      </c>
      <c r="B14" s="31" t="s">
        <v>601</v>
      </c>
      <c r="C14" s="4">
        <f t="shared" si="2"/>
        <v>323968</v>
      </c>
      <c r="D14" s="4">
        <v>241315</v>
      </c>
      <c r="E14" s="13">
        <f t="shared" si="3"/>
        <v>82653</v>
      </c>
      <c r="F14" s="13">
        <v>5800</v>
      </c>
      <c r="G14" s="13">
        <v>3228</v>
      </c>
      <c r="H14" s="13">
        <v>73625</v>
      </c>
      <c r="I14" s="13">
        <f t="shared" si="4"/>
        <v>347767.82553799998</v>
      </c>
      <c r="J14" s="14">
        <v>241315</v>
      </c>
      <c r="K14" s="14">
        <f t="shared" si="5"/>
        <v>106452.825538</v>
      </c>
      <c r="L14" s="14">
        <v>5800</v>
      </c>
      <c r="M14" s="14">
        <v>6799.8255380000046</v>
      </c>
      <c r="N14" s="14">
        <v>93853</v>
      </c>
      <c r="O14" s="23">
        <f t="shared" si="1"/>
        <v>107.34635073155373</v>
      </c>
      <c r="P14" s="5">
        <f t="shared" si="1"/>
        <v>100</v>
      </c>
      <c r="Q14" s="13">
        <f t="shared" si="1"/>
        <v>128.79487198044839</v>
      </c>
      <c r="R14" s="13">
        <f t="shared" si="1"/>
        <v>100</v>
      </c>
      <c r="S14" s="13">
        <f t="shared" si="1"/>
        <v>210.65134876084275</v>
      </c>
      <c r="T14" s="5"/>
      <c r="W14" s="6"/>
    </row>
    <row r="15" spans="1:23" s="9" customFormat="1" ht="15.75" x14ac:dyDescent="0.25">
      <c r="A15" s="32">
        <v>5</v>
      </c>
      <c r="B15" s="31" t="s">
        <v>147</v>
      </c>
      <c r="C15" s="4">
        <f t="shared" si="2"/>
        <v>523512</v>
      </c>
      <c r="D15" s="4">
        <v>398242</v>
      </c>
      <c r="E15" s="13">
        <f t="shared" si="3"/>
        <v>125270</v>
      </c>
      <c r="F15" s="13">
        <v>8000</v>
      </c>
      <c r="G15" s="13">
        <v>5048</v>
      </c>
      <c r="H15" s="13">
        <v>112222</v>
      </c>
      <c r="I15" s="13">
        <f t="shared" si="4"/>
        <v>536748</v>
      </c>
      <c r="J15" s="14">
        <v>398242</v>
      </c>
      <c r="K15" s="14">
        <f t="shared" si="5"/>
        <v>138506</v>
      </c>
      <c r="L15" s="14">
        <v>9776</v>
      </c>
      <c r="M15" s="14">
        <v>12028</v>
      </c>
      <c r="N15" s="14">
        <v>116702</v>
      </c>
      <c r="O15" s="23">
        <f t="shared" si="1"/>
        <v>102.52830880667491</v>
      </c>
      <c r="P15" s="5">
        <f t="shared" si="1"/>
        <v>100</v>
      </c>
      <c r="Q15" s="13">
        <f>K15/E15%</f>
        <v>110.56597748862457</v>
      </c>
      <c r="R15" s="13">
        <f>L15/F15%</f>
        <v>122.2</v>
      </c>
      <c r="S15" s="13">
        <f t="shared" si="1"/>
        <v>238.27258320126785</v>
      </c>
      <c r="T15" s="5"/>
      <c r="W15" s="6"/>
    </row>
    <row r="16" spans="1:23" s="9" customFormat="1" ht="15.75" x14ac:dyDescent="0.25">
      <c r="A16" s="32">
        <v>6</v>
      </c>
      <c r="B16" s="31" t="s">
        <v>164</v>
      </c>
      <c r="C16" s="4">
        <f t="shared" si="2"/>
        <v>391936</v>
      </c>
      <c r="D16" s="4">
        <v>301282</v>
      </c>
      <c r="E16" s="13">
        <f t="shared" si="3"/>
        <v>90654</v>
      </c>
      <c r="F16" s="13">
        <v>10400</v>
      </c>
      <c r="G16" s="13">
        <v>3231</v>
      </c>
      <c r="H16" s="13">
        <v>77023</v>
      </c>
      <c r="I16" s="13">
        <f t="shared" si="4"/>
        <v>401871.15700000001</v>
      </c>
      <c r="J16" s="14">
        <v>295321.70600000001</v>
      </c>
      <c r="K16" s="14">
        <f t="shared" si="5"/>
        <v>106549.451</v>
      </c>
      <c r="L16" s="14">
        <v>40695</v>
      </c>
      <c r="M16" s="14">
        <v>29526.451000000001</v>
      </c>
      <c r="N16" s="14">
        <v>36328</v>
      </c>
      <c r="O16" s="23">
        <f t="shared" si="1"/>
        <v>102.53489268656107</v>
      </c>
      <c r="P16" s="5">
        <f t="shared" si="1"/>
        <v>98.021689314330089</v>
      </c>
      <c r="Q16" s="13">
        <f t="shared" si="1"/>
        <v>117.53419705694178</v>
      </c>
      <c r="R16" s="13">
        <f t="shared" si="1"/>
        <v>391.29807692307691</v>
      </c>
      <c r="S16" s="13">
        <f t="shared" si="1"/>
        <v>913.84868461776534</v>
      </c>
      <c r="T16" s="5"/>
      <c r="W16" s="6"/>
    </row>
    <row r="17" spans="1:23" s="9" customFormat="1" ht="15.75" x14ac:dyDescent="0.25">
      <c r="A17" s="32">
        <v>7</v>
      </c>
      <c r="B17" s="31" t="s">
        <v>602</v>
      </c>
      <c r="C17" s="4">
        <f t="shared" si="2"/>
        <v>217446</v>
      </c>
      <c r="D17" s="4">
        <v>95268</v>
      </c>
      <c r="E17" s="13">
        <f t="shared" si="3"/>
        <v>122178</v>
      </c>
      <c r="F17" s="13">
        <v>5300</v>
      </c>
      <c r="G17" s="13">
        <v>2797</v>
      </c>
      <c r="H17" s="13">
        <v>114081</v>
      </c>
      <c r="I17" s="13">
        <f t="shared" si="4"/>
        <v>224149.67290000001</v>
      </c>
      <c r="J17" s="14">
        <v>94633.248899999991</v>
      </c>
      <c r="K17" s="14">
        <f t="shared" si="5"/>
        <v>129516.424</v>
      </c>
      <c r="L17" s="14">
        <v>7030</v>
      </c>
      <c r="M17" s="14">
        <v>4359.4240000000009</v>
      </c>
      <c r="N17" s="14">
        <v>118127</v>
      </c>
      <c r="O17" s="23">
        <f t="shared" si="1"/>
        <v>103.08291387286958</v>
      </c>
      <c r="P17" s="5">
        <f t="shared" si="1"/>
        <v>99.333720556745178</v>
      </c>
      <c r="Q17" s="13">
        <f t="shared" si="1"/>
        <v>106.00633829330977</v>
      </c>
      <c r="R17" s="13">
        <f t="shared" si="1"/>
        <v>132.64150943396226</v>
      </c>
      <c r="S17" s="13">
        <f t="shared" si="1"/>
        <v>155.86070790132288</v>
      </c>
      <c r="T17" s="5"/>
      <c r="W17" s="6"/>
    </row>
    <row r="18" spans="1:23" s="9" customFormat="1" ht="15.75" x14ac:dyDescent="0.25">
      <c r="A18" s="32">
        <v>8</v>
      </c>
      <c r="B18" s="31" t="s">
        <v>132</v>
      </c>
      <c r="C18" s="4">
        <f t="shared" si="2"/>
        <v>283246</v>
      </c>
      <c r="D18" s="4">
        <v>196412</v>
      </c>
      <c r="E18" s="13">
        <f t="shared" si="3"/>
        <v>86834</v>
      </c>
      <c r="F18" s="13">
        <v>8400</v>
      </c>
      <c r="G18" s="13">
        <v>3097</v>
      </c>
      <c r="H18" s="13">
        <v>75337</v>
      </c>
      <c r="I18" s="13">
        <f t="shared" si="4"/>
        <v>291129.01875400002</v>
      </c>
      <c r="J18" s="14">
        <v>193436.12275400001</v>
      </c>
      <c r="K18" s="14">
        <f t="shared" si="5"/>
        <v>97692.895999999993</v>
      </c>
      <c r="L18" s="14">
        <v>7883</v>
      </c>
      <c r="M18" s="14">
        <v>13417.895999999993</v>
      </c>
      <c r="N18" s="14">
        <v>76392</v>
      </c>
      <c r="O18" s="23">
        <f t="shared" si="1"/>
        <v>102.78309976275041</v>
      </c>
      <c r="P18" s="5">
        <f t="shared" si="1"/>
        <v>98.484880126468866</v>
      </c>
      <c r="Q18" s="13">
        <f t="shared" si="1"/>
        <v>112.50535043876822</v>
      </c>
      <c r="R18" s="13">
        <f t="shared" si="1"/>
        <v>93.845238095238102</v>
      </c>
      <c r="S18" s="13">
        <f t="shared" si="1"/>
        <v>433.25463351630589</v>
      </c>
      <c r="T18" s="5"/>
      <c r="W18" s="6"/>
    </row>
    <row r="19" spans="1:23" s="9" customFormat="1" ht="15.75" x14ac:dyDescent="0.25">
      <c r="A19" s="32">
        <v>9</v>
      </c>
      <c r="B19" s="31" t="s">
        <v>163</v>
      </c>
      <c r="C19" s="4">
        <f t="shared" si="2"/>
        <v>193969</v>
      </c>
      <c r="D19" s="4">
        <v>27552</v>
      </c>
      <c r="E19" s="13">
        <f t="shared" si="3"/>
        <v>166417</v>
      </c>
      <c r="F19" s="13">
        <v>32800</v>
      </c>
      <c r="G19" s="13">
        <v>7775</v>
      </c>
      <c r="H19" s="13">
        <v>125842</v>
      </c>
      <c r="I19" s="13">
        <f t="shared" si="4"/>
        <v>199141.55499999999</v>
      </c>
      <c r="J19" s="14">
        <v>27441.555</v>
      </c>
      <c r="K19" s="14">
        <f t="shared" si="5"/>
        <v>171700</v>
      </c>
      <c r="L19" s="14">
        <v>32690</v>
      </c>
      <c r="M19" s="14">
        <v>10550</v>
      </c>
      <c r="N19" s="14">
        <v>128460</v>
      </c>
      <c r="O19" s="23">
        <f t="shared" si="1"/>
        <v>102.66669158473776</v>
      </c>
      <c r="P19" s="5">
        <f t="shared" si="1"/>
        <v>99.599139808362381</v>
      </c>
      <c r="Q19" s="13">
        <f t="shared" si="1"/>
        <v>103.1745554841152</v>
      </c>
      <c r="R19" s="13">
        <f t="shared" si="1"/>
        <v>99.66463414634147</v>
      </c>
      <c r="S19" s="13">
        <f t="shared" si="1"/>
        <v>135.69131832797427</v>
      </c>
      <c r="T19" s="5"/>
      <c r="W19" s="6"/>
    </row>
    <row r="20" spans="1:23" s="9" customFormat="1" ht="15.75" x14ac:dyDescent="0.25">
      <c r="A20" s="32">
        <v>10</v>
      </c>
      <c r="B20" s="31" t="s">
        <v>148</v>
      </c>
      <c r="C20" s="4">
        <f t="shared" si="2"/>
        <v>485389</v>
      </c>
      <c r="D20" s="4">
        <v>283513</v>
      </c>
      <c r="E20" s="13">
        <f t="shared" si="3"/>
        <v>201876</v>
      </c>
      <c r="F20" s="13">
        <v>5500</v>
      </c>
      <c r="G20" s="13">
        <v>4357</v>
      </c>
      <c r="H20" s="13">
        <v>192019</v>
      </c>
      <c r="I20" s="13">
        <f t="shared" si="4"/>
        <v>536707.56059399992</v>
      </c>
      <c r="J20" s="14">
        <v>282601.11559399997</v>
      </c>
      <c r="K20" s="14">
        <f t="shared" si="5"/>
        <v>254106.44500000001</v>
      </c>
      <c r="L20" s="14">
        <v>7318</v>
      </c>
      <c r="M20" s="14">
        <v>19643.445</v>
      </c>
      <c r="N20" s="14">
        <v>227145</v>
      </c>
      <c r="O20" s="23">
        <f t="shared" si="1"/>
        <v>110.57266658164892</v>
      </c>
      <c r="P20" s="5">
        <f t="shared" si="1"/>
        <v>99.678362401018632</v>
      </c>
      <c r="Q20" s="13">
        <f t="shared" si="1"/>
        <v>125.87253809269056</v>
      </c>
      <c r="R20" s="13">
        <f t="shared" si="1"/>
        <v>133.05454545454546</v>
      </c>
      <c r="S20" s="13">
        <f t="shared" si="1"/>
        <v>450.84794583428965</v>
      </c>
      <c r="T20" s="5"/>
      <c r="W20" s="6"/>
    </row>
    <row r="21" spans="1:23" s="9" customFormat="1" ht="15.75" x14ac:dyDescent="0.25">
      <c r="A21" s="17"/>
      <c r="B21" s="18"/>
      <c r="C21" s="19"/>
      <c r="D21" s="19"/>
      <c r="E21" s="19"/>
      <c r="F21" s="19"/>
      <c r="G21" s="19"/>
      <c r="H21" s="19"/>
      <c r="I21" s="19"/>
      <c r="J21" s="24"/>
      <c r="K21" s="24"/>
      <c r="L21" s="24"/>
      <c r="M21" s="24"/>
      <c r="N21" s="24"/>
      <c r="O21" s="24"/>
      <c r="P21" s="19"/>
      <c r="Q21" s="19"/>
      <c r="R21" s="19"/>
      <c r="S21" s="19"/>
      <c r="T21" s="19"/>
      <c r="W21" s="6"/>
    </row>
    <row r="22" spans="1:23" s="9" customFormat="1" ht="15.75" x14ac:dyDescent="0.25">
      <c r="A22" s="36"/>
      <c r="C22" s="10"/>
      <c r="D22" s="10"/>
      <c r="E22" s="10"/>
      <c r="F22" s="10"/>
      <c r="G22" s="10"/>
      <c r="H22" s="10"/>
      <c r="I22" s="10"/>
      <c r="J22" s="10"/>
      <c r="K22" s="10"/>
      <c r="L22" s="10"/>
      <c r="M22" s="10"/>
      <c r="N22" s="10"/>
      <c r="O22" s="10"/>
      <c r="P22" s="10"/>
      <c r="Q22" s="10"/>
      <c r="R22" s="10"/>
      <c r="S22" s="10"/>
      <c r="T22" s="10"/>
    </row>
    <row r="23" spans="1:23" x14ac:dyDescent="0.25">
      <c r="I23" s="121"/>
    </row>
    <row r="24" spans="1:23" x14ac:dyDescent="0.25">
      <c r="J24" s="122"/>
    </row>
    <row r="39" spans="4:4" x14ac:dyDescent="0.25">
      <c r="D39" s="109"/>
    </row>
    <row r="40" spans="4:4" x14ac:dyDescent="0.25">
      <c r="D40" s="109"/>
    </row>
    <row r="41" spans="4:4" x14ac:dyDescent="0.25">
      <c r="D41" s="109"/>
    </row>
    <row r="42" spans="4:4" x14ac:dyDescent="0.25">
      <c r="D42" s="109"/>
    </row>
    <row r="43" spans="4:4" x14ac:dyDescent="0.25">
      <c r="D43" s="109"/>
    </row>
    <row r="44" spans="4:4" x14ac:dyDescent="0.25">
      <c r="D44" s="109"/>
    </row>
    <row r="45" spans="4:4" x14ac:dyDescent="0.25">
      <c r="D45" s="109"/>
    </row>
    <row r="46" spans="4:4" x14ac:dyDescent="0.25">
      <c r="D46" s="109"/>
    </row>
    <row r="47" spans="4:4" x14ac:dyDescent="0.25">
      <c r="D47" s="109"/>
    </row>
    <row r="48" spans="4:4" x14ac:dyDescent="0.25">
      <c r="D48" s="109"/>
    </row>
  </sheetData>
  <mergeCells count="16">
    <mergeCell ref="K7:N7"/>
    <mergeCell ref="O7:O8"/>
    <mergeCell ref="P7:P8"/>
    <mergeCell ref="Q7:T7"/>
    <mergeCell ref="A3:T3"/>
    <mergeCell ref="A4:T4"/>
    <mergeCell ref="A6:A8"/>
    <mergeCell ref="B6:B8"/>
    <mergeCell ref="C6:H6"/>
    <mergeCell ref="I6:N6"/>
    <mergeCell ref="O6:T6"/>
    <mergeCell ref="C7:C8"/>
    <mergeCell ref="D7:D8"/>
    <mergeCell ref="E7:H7"/>
    <mergeCell ref="I7:I8"/>
    <mergeCell ref="J7:J8"/>
  </mergeCells>
  <printOptions horizontalCentered="1"/>
  <pageMargins left="0" right="0" top="0.75" bottom="0.25" header="0.3" footer="0.3"/>
  <pageSetup paperSize="9" scale="65"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1F8490-294E-4A1F-9ED5-3FC9689A2BD9}">
  <dimension ref="A1:BQ52"/>
  <sheetViews>
    <sheetView showZeros="0" zoomScale="90" zoomScaleNormal="90" workbookViewId="0">
      <selection activeCell="A4" sqref="A4:BO4"/>
    </sheetView>
  </sheetViews>
  <sheetFormatPr defaultColWidth="9.140625" defaultRowHeight="15" outlineLevelCol="1" x14ac:dyDescent="0.25"/>
  <cols>
    <col min="1" max="1" width="4.28515625" style="49" bestFit="1" customWidth="1"/>
    <col min="2" max="2" width="25" style="49" customWidth="1"/>
    <col min="3" max="3" width="10.7109375" style="49" customWidth="1"/>
    <col min="4" max="26" width="7.28515625" style="49" customWidth="1" outlineLevel="1"/>
    <col min="27" max="27" width="10.85546875" style="49" customWidth="1"/>
    <col min="28" max="28" width="10.42578125" style="49" customWidth="1" outlineLevel="1"/>
    <col min="29" max="29" width="9.5703125" style="49" customWidth="1" outlineLevel="1"/>
    <col min="30" max="50" width="7.28515625" style="49" customWidth="1" outlineLevel="1"/>
    <col min="51" max="51" width="11.5703125" style="49" customWidth="1"/>
    <col min="52" max="67" width="9.140625" style="49" customWidth="1" outlineLevel="1"/>
    <col min="68" max="16384" width="9.140625" style="49"/>
  </cols>
  <sheetData>
    <row r="1" spans="1:69" ht="15" customHeight="1" x14ac:dyDescent="0.25">
      <c r="A1" s="339"/>
      <c r="B1" s="339"/>
      <c r="Q1" s="340"/>
      <c r="R1" s="340"/>
      <c r="S1" s="340"/>
      <c r="X1" s="340"/>
      <c r="Y1" s="340"/>
      <c r="Z1" s="340"/>
      <c r="BO1" s="301" t="s">
        <v>122</v>
      </c>
    </row>
    <row r="2" spans="1:69" x14ac:dyDescent="0.25">
      <c r="A2" s="302"/>
    </row>
    <row r="3" spans="1:69" x14ac:dyDescent="0.25">
      <c r="A3" s="341" t="s">
        <v>674</v>
      </c>
      <c r="B3" s="341"/>
      <c r="C3" s="341"/>
      <c r="D3" s="341"/>
      <c r="E3" s="341"/>
      <c r="F3" s="341"/>
      <c r="G3" s="341"/>
      <c r="H3" s="341"/>
      <c r="I3" s="341"/>
      <c r="J3" s="341"/>
      <c r="K3" s="341"/>
      <c r="L3" s="341"/>
      <c r="M3" s="341"/>
      <c r="N3" s="341"/>
      <c r="O3" s="341"/>
      <c r="P3" s="341"/>
      <c r="Q3" s="341"/>
      <c r="R3" s="341"/>
      <c r="S3" s="341"/>
      <c r="T3" s="341"/>
      <c r="U3" s="341"/>
      <c r="V3" s="341"/>
      <c r="W3" s="341"/>
      <c r="X3" s="341"/>
      <c r="Y3" s="341"/>
      <c r="Z3" s="341"/>
      <c r="AA3" s="341"/>
      <c r="AB3" s="341"/>
      <c r="AC3" s="341"/>
      <c r="AD3" s="341"/>
      <c r="AE3" s="341"/>
      <c r="AF3" s="341"/>
      <c r="AG3" s="341"/>
      <c r="AH3" s="341"/>
      <c r="AI3" s="341"/>
      <c r="AJ3" s="341"/>
      <c r="AK3" s="341"/>
      <c r="AL3" s="341"/>
      <c r="AM3" s="341"/>
      <c r="AN3" s="341"/>
      <c r="AO3" s="341"/>
      <c r="AP3" s="341"/>
      <c r="AQ3" s="341"/>
      <c r="AR3" s="341"/>
      <c r="AS3" s="341"/>
      <c r="AT3" s="341"/>
      <c r="AU3" s="341"/>
      <c r="AV3" s="341"/>
      <c r="AW3" s="341"/>
      <c r="AX3" s="341"/>
      <c r="AY3" s="341"/>
      <c r="AZ3" s="341"/>
      <c r="BA3" s="341"/>
      <c r="BB3" s="341"/>
      <c r="BC3" s="341"/>
      <c r="BD3" s="341"/>
      <c r="BE3" s="341"/>
      <c r="BF3" s="341"/>
      <c r="BG3" s="341"/>
      <c r="BH3" s="341"/>
      <c r="BI3" s="341"/>
      <c r="BJ3" s="341"/>
      <c r="BK3" s="341"/>
      <c r="BL3" s="341"/>
      <c r="BM3" s="341"/>
      <c r="BN3" s="341"/>
      <c r="BO3" s="341"/>
    </row>
    <row r="4" spans="1:69" x14ac:dyDescent="0.25">
      <c r="A4" s="342" t="s">
        <v>708</v>
      </c>
      <c r="B4" s="342"/>
      <c r="C4" s="342"/>
      <c r="D4" s="342"/>
      <c r="E4" s="342"/>
      <c r="F4" s="342"/>
      <c r="G4" s="342"/>
      <c r="H4" s="342"/>
      <c r="I4" s="342"/>
      <c r="J4" s="342"/>
      <c r="K4" s="342"/>
      <c r="L4" s="342"/>
      <c r="M4" s="342"/>
      <c r="N4" s="342"/>
      <c r="O4" s="342"/>
      <c r="P4" s="342"/>
      <c r="Q4" s="342"/>
      <c r="R4" s="342"/>
      <c r="S4" s="342"/>
      <c r="T4" s="342"/>
      <c r="U4" s="342"/>
      <c r="V4" s="342"/>
      <c r="W4" s="342"/>
      <c r="X4" s="342"/>
      <c r="Y4" s="342"/>
      <c r="Z4" s="342"/>
      <c r="AA4" s="342"/>
      <c r="AB4" s="342"/>
      <c r="AC4" s="342"/>
      <c r="AD4" s="342"/>
      <c r="AE4" s="342"/>
      <c r="AF4" s="342"/>
      <c r="AG4" s="342"/>
      <c r="AH4" s="342"/>
      <c r="AI4" s="342"/>
      <c r="AJ4" s="342"/>
      <c r="AK4" s="342"/>
      <c r="AL4" s="342"/>
      <c r="AM4" s="342"/>
      <c r="AN4" s="342"/>
      <c r="AO4" s="342"/>
      <c r="AP4" s="342"/>
      <c r="AQ4" s="342"/>
      <c r="AR4" s="342"/>
      <c r="AS4" s="342"/>
      <c r="AT4" s="342"/>
      <c r="AU4" s="342"/>
      <c r="AV4" s="342"/>
      <c r="AW4" s="342"/>
      <c r="AX4" s="342"/>
      <c r="AY4" s="342"/>
      <c r="AZ4" s="342"/>
      <c r="BA4" s="342"/>
      <c r="BB4" s="342"/>
      <c r="BC4" s="342"/>
      <c r="BD4" s="342"/>
      <c r="BE4" s="342"/>
      <c r="BF4" s="342"/>
      <c r="BG4" s="342"/>
      <c r="BH4" s="342"/>
      <c r="BI4" s="342"/>
      <c r="BJ4" s="342"/>
      <c r="BK4" s="342"/>
      <c r="BL4" s="342"/>
      <c r="BM4" s="342"/>
      <c r="BN4" s="342"/>
      <c r="BO4" s="342"/>
    </row>
    <row r="5" spans="1:69" hidden="1" x14ac:dyDescent="0.25">
      <c r="AF5" s="303"/>
    </row>
    <row r="6" spans="1:69" x14ac:dyDescent="0.25">
      <c r="C6" s="303"/>
      <c r="D6" s="303"/>
      <c r="E6" s="303"/>
      <c r="F6" s="303"/>
      <c r="G6" s="303"/>
      <c r="H6" s="303"/>
      <c r="I6" s="303"/>
      <c r="J6" s="303"/>
      <c r="K6" s="303"/>
      <c r="L6" s="303"/>
      <c r="M6" s="303"/>
      <c r="N6" s="303"/>
      <c r="O6" s="303"/>
      <c r="P6" s="303"/>
      <c r="Q6" s="303"/>
      <c r="R6" s="303"/>
      <c r="S6" s="303"/>
      <c r="T6" s="303"/>
      <c r="U6" s="303"/>
      <c r="V6" s="303"/>
      <c r="W6" s="303"/>
      <c r="X6" s="303"/>
      <c r="Y6" s="303"/>
      <c r="Z6" s="303"/>
      <c r="AA6" s="303"/>
      <c r="AB6" s="303"/>
      <c r="AC6" s="303"/>
      <c r="AD6" s="303"/>
      <c r="AE6" s="303"/>
      <c r="AF6" s="303"/>
      <c r="AG6" s="303"/>
      <c r="AH6" s="303"/>
      <c r="AI6" s="303"/>
      <c r="AJ6" s="303"/>
      <c r="AK6" s="303"/>
      <c r="AL6" s="303"/>
      <c r="AM6" s="303"/>
      <c r="AN6" s="303"/>
      <c r="AO6" s="303"/>
      <c r="AP6" s="303"/>
      <c r="AQ6" s="303"/>
      <c r="AR6" s="303"/>
      <c r="AS6" s="303"/>
      <c r="AT6" s="303"/>
      <c r="AU6" s="303"/>
      <c r="AV6" s="303"/>
      <c r="AW6" s="303"/>
      <c r="AX6" s="303"/>
      <c r="BN6" s="256"/>
      <c r="BO6" s="256"/>
    </row>
    <row r="7" spans="1:69" s="105" customFormat="1" ht="24.75" customHeight="1" x14ac:dyDescent="0.25">
      <c r="A7" s="328" t="s">
        <v>2</v>
      </c>
      <c r="B7" s="328" t="s">
        <v>123</v>
      </c>
      <c r="C7" s="338" t="s">
        <v>675</v>
      </c>
      <c r="D7" s="338"/>
      <c r="E7" s="338"/>
      <c r="F7" s="338"/>
      <c r="G7" s="338"/>
      <c r="H7" s="338"/>
      <c r="I7" s="338"/>
      <c r="J7" s="338"/>
      <c r="K7" s="338"/>
      <c r="L7" s="338"/>
      <c r="M7" s="338"/>
      <c r="N7" s="338"/>
      <c r="O7" s="338"/>
      <c r="P7" s="338"/>
      <c r="Q7" s="338"/>
      <c r="R7" s="338"/>
      <c r="S7" s="338"/>
      <c r="T7" s="338"/>
      <c r="U7" s="338"/>
      <c r="V7" s="338"/>
      <c r="W7" s="338"/>
      <c r="X7" s="338"/>
      <c r="Y7" s="338"/>
      <c r="Z7" s="338"/>
      <c r="AA7" s="324" t="s">
        <v>5</v>
      </c>
      <c r="AB7" s="324"/>
      <c r="AC7" s="324"/>
      <c r="AD7" s="324"/>
      <c r="AE7" s="324"/>
      <c r="AF7" s="324"/>
      <c r="AG7" s="324"/>
      <c r="AH7" s="324"/>
      <c r="AI7" s="324"/>
      <c r="AJ7" s="324"/>
      <c r="AK7" s="324"/>
      <c r="AL7" s="324"/>
      <c r="AM7" s="324"/>
      <c r="AN7" s="324"/>
      <c r="AO7" s="324"/>
      <c r="AP7" s="324"/>
      <c r="AQ7" s="324"/>
      <c r="AR7" s="324"/>
      <c r="AS7" s="324"/>
      <c r="AT7" s="324"/>
      <c r="AU7" s="324"/>
      <c r="AV7" s="324"/>
      <c r="AW7" s="324"/>
      <c r="AX7" s="324"/>
      <c r="AY7" s="324" t="s">
        <v>6</v>
      </c>
      <c r="AZ7" s="324"/>
      <c r="BA7" s="324"/>
      <c r="BB7" s="324"/>
      <c r="BC7" s="324"/>
      <c r="BD7" s="324"/>
      <c r="BE7" s="324"/>
      <c r="BF7" s="324"/>
      <c r="BG7" s="324"/>
      <c r="BH7" s="324"/>
      <c r="BI7" s="324"/>
      <c r="BJ7" s="324"/>
      <c r="BK7" s="324"/>
      <c r="BL7" s="324"/>
      <c r="BM7" s="324"/>
      <c r="BN7" s="324"/>
      <c r="BO7" s="324"/>
    </row>
    <row r="8" spans="1:69" ht="34.5" customHeight="1" x14ac:dyDescent="0.25">
      <c r="A8" s="328"/>
      <c r="B8" s="328"/>
      <c r="C8" s="328" t="s">
        <v>110</v>
      </c>
      <c r="D8" s="328" t="s">
        <v>124</v>
      </c>
      <c r="E8" s="328"/>
      <c r="F8" s="328" t="s">
        <v>130</v>
      </c>
      <c r="G8" s="328"/>
      <c r="H8" s="328"/>
      <c r="I8" s="328"/>
      <c r="J8" s="328"/>
      <c r="K8" s="328"/>
      <c r="L8" s="328"/>
      <c r="M8" s="328" t="s">
        <v>129</v>
      </c>
      <c r="N8" s="328"/>
      <c r="O8" s="328"/>
      <c r="P8" s="328"/>
      <c r="Q8" s="328"/>
      <c r="R8" s="328"/>
      <c r="S8" s="328"/>
      <c r="T8" s="328" t="s">
        <v>637</v>
      </c>
      <c r="U8" s="328"/>
      <c r="V8" s="328"/>
      <c r="W8" s="328"/>
      <c r="X8" s="328"/>
      <c r="Y8" s="328"/>
      <c r="Z8" s="328"/>
      <c r="AA8" s="328" t="s">
        <v>110</v>
      </c>
      <c r="AB8" s="328" t="s">
        <v>124</v>
      </c>
      <c r="AC8" s="328"/>
      <c r="AD8" s="328" t="s">
        <v>130</v>
      </c>
      <c r="AE8" s="328"/>
      <c r="AF8" s="328"/>
      <c r="AG8" s="328"/>
      <c r="AH8" s="328"/>
      <c r="AI8" s="328"/>
      <c r="AJ8" s="328"/>
      <c r="AK8" s="328" t="s">
        <v>129</v>
      </c>
      <c r="AL8" s="328"/>
      <c r="AM8" s="328"/>
      <c r="AN8" s="328"/>
      <c r="AO8" s="328"/>
      <c r="AP8" s="328"/>
      <c r="AQ8" s="328"/>
      <c r="AR8" s="328" t="s">
        <v>637</v>
      </c>
      <c r="AS8" s="328"/>
      <c r="AT8" s="328"/>
      <c r="AU8" s="328"/>
      <c r="AV8" s="328"/>
      <c r="AW8" s="328"/>
      <c r="AX8" s="328"/>
      <c r="AY8" s="328" t="s">
        <v>110</v>
      </c>
      <c r="AZ8" s="328" t="s">
        <v>124</v>
      </c>
      <c r="BA8" s="328"/>
      <c r="BB8" s="328" t="s">
        <v>130</v>
      </c>
      <c r="BC8" s="328"/>
      <c r="BD8" s="328"/>
      <c r="BE8" s="328"/>
      <c r="BF8" s="328"/>
      <c r="BG8" s="328"/>
      <c r="BH8" s="328"/>
      <c r="BI8" s="328" t="s">
        <v>129</v>
      </c>
      <c r="BJ8" s="328"/>
      <c r="BK8" s="328"/>
      <c r="BL8" s="328"/>
      <c r="BM8" s="328"/>
      <c r="BN8" s="328"/>
      <c r="BO8" s="328"/>
    </row>
    <row r="9" spans="1:69" x14ac:dyDescent="0.25">
      <c r="A9" s="328"/>
      <c r="B9" s="328"/>
      <c r="C9" s="328"/>
      <c r="D9" s="337" t="s">
        <v>125</v>
      </c>
      <c r="E9" s="337" t="s">
        <v>126</v>
      </c>
      <c r="F9" s="328" t="s">
        <v>110</v>
      </c>
      <c r="G9" s="337" t="s">
        <v>125</v>
      </c>
      <c r="H9" s="337"/>
      <c r="I9" s="337"/>
      <c r="J9" s="337" t="s">
        <v>126</v>
      </c>
      <c r="K9" s="337"/>
      <c r="L9" s="337"/>
      <c r="M9" s="328" t="s">
        <v>110</v>
      </c>
      <c r="N9" s="337" t="s">
        <v>125</v>
      </c>
      <c r="O9" s="337"/>
      <c r="P9" s="337"/>
      <c r="Q9" s="337" t="s">
        <v>126</v>
      </c>
      <c r="R9" s="337"/>
      <c r="S9" s="337"/>
      <c r="T9" s="328" t="s">
        <v>110</v>
      </c>
      <c r="U9" s="337" t="s">
        <v>125</v>
      </c>
      <c r="V9" s="337"/>
      <c r="W9" s="337"/>
      <c r="X9" s="337" t="s">
        <v>126</v>
      </c>
      <c r="Y9" s="337"/>
      <c r="Z9" s="337"/>
      <c r="AA9" s="328"/>
      <c r="AB9" s="337" t="s">
        <v>125</v>
      </c>
      <c r="AC9" s="337" t="s">
        <v>126</v>
      </c>
      <c r="AD9" s="328" t="s">
        <v>110</v>
      </c>
      <c r="AE9" s="337" t="s">
        <v>125</v>
      </c>
      <c r="AF9" s="337"/>
      <c r="AG9" s="337"/>
      <c r="AH9" s="337" t="s">
        <v>126</v>
      </c>
      <c r="AI9" s="337"/>
      <c r="AJ9" s="337"/>
      <c r="AK9" s="328" t="s">
        <v>110</v>
      </c>
      <c r="AL9" s="337" t="s">
        <v>125</v>
      </c>
      <c r="AM9" s="337"/>
      <c r="AN9" s="337"/>
      <c r="AO9" s="337" t="s">
        <v>126</v>
      </c>
      <c r="AP9" s="337"/>
      <c r="AQ9" s="337"/>
      <c r="AR9" s="328" t="s">
        <v>110</v>
      </c>
      <c r="AS9" s="337" t="s">
        <v>125</v>
      </c>
      <c r="AT9" s="337"/>
      <c r="AU9" s="337"/>
      <c r="AV9" s="337" t="s">
        <v>126</v>
      </c>
      <c r="AW9" s="337"/>
      <c r="AX9" s="337"/>
      <c r="AY9" s="328"/>
      <c r="AZ9" s="337" t="s">
        <v>125</v>
      </c>
      <c r="BA9" s="337" t="s">
        <v>126</v>
      </c>
      <c r="BB9" s="328" t="s">
        <v>110</v>
      </c>
      <c r="BC9" s="337" t="s">
        <v>125</v>
      </c>
      <c r="BD9" s="337"/>
      <c r="BE9" s="337"/>
      <c r="BF9" s="337" t="s">
        <v>126</v>
      </c>
      <c r="BG9" s="337"/>
      <c r="BH9" s="337"/>
      <c r="BI9" s="328" t="s">
        <v>110</v>
      </c>
      <c r="BJ9" s="337" t="s">
        <v>125</v>
      </c>
      <c r="BK9" s="337"/>
      <c r="BL9" s="337"/>
      <c r="BM9" s="337" t="s">
        <v>126</v>
      </c>
      <c r="BN9" s="337"/>
      <c r="BO9" s="337"/>
    </row>
    <row r="10" spans="1:69" ht="46.5" customHeight="1" x14ac:dyDescent="0.25">
      <c r="A10" s="328"/>
      <c r="B10" s="328"/>
      <c r="C10" s="328"/>
      <c r="D10" s="337"/>
      <c r="E10" s="337"/>
      <c r="F10" s="328"/>
      <c r="G10" s="99" t="s">
        <v>110</v>
      </c>
      <c r="H10" s="99" t="s">
        <v>127</v>
      </c>
      <c r="I10" s="99" t="s">
        <v>128</v>
      </c>
      <c r="J10" s="99" t="s">
        <v>110</v>
      </c>
      <c r="K10" s="99" t="s">
        <v>127</v>
      </c>
      <c r="L10" s="99" t="s">
        <v>128</v>
      </c>
      <c r="M10" s="328"/>
      <c r="N10" s="99" t="s">
        <v>110</v>
      </c>
      <c r="O10" s="99" t="s">
        <v>127</v>
      </c>
      <c r="P10" s="99" t="s">
        <v>128</v>
      </c>
      <c r="Q10" s="99" t="s">
        <v>110</v>
      </c>
      <c r="R10" s="99" t="s">
        <v>127</v>
      </c>
      <c r="S10" s="99" t="s">
        <v>128</v>
      </c>
      <c r="T10" s="328"/>
      <c r="U10" s="99" t="s">
        <v>110</v>
      </c>
      <c r="V10" s="99" t="s">
        <v>127</v>
      </c>
      <c r="W10" s="99" t="s">
        <v>128</v>
      </c>
      <c r="X10" s="99" t="s">
        <v>110</v>
      </c>
      <c r="Y10" s="99" t="s">
        <v>127</v>
      </c>
      <c r="Z10" s="99" t="s">
        <v>128</v>
      </c>
      <c r="AA10" s="328"/>
      <c r="AB10" s="337"/>
      <c r="AC10" s="337"/>
      <c r="AD10" s="328"/>
      <c r="AE10" s="99" t="s">
        <v>110</v>
      </c>
      <c r="AF10" s="99" t="s">
        <v>127</v>
      </c>
      <c r="AG10" s="99" t="s">
        <v>128</v>
      </c>
      <c r="AH10" s="99" t="s">
        <v>110</v>
      </c>
      <c r="AI10" s="99" t="s">
        <v>127</v>
      </c>
      <c r="AJ10" s="99" t="s">
        <v>128</v>
      </c>
      <c r="AK10" s="328"/>
      <c r="AL10" s="99" t="s">
        <v>110</v>
      </c>
      <c r="AM10" s="99" t="s">
        <v>127</v>
      </c>
      <c r="AN10" s="99" t="s">
        <v>128</v>
      </c>
      <c r="AO10" s="99" t="s">
        <v>110</v>
      </c>
      <c r="AP10" s="99" t="s">
        <v>127</v>
      </c>
      <c r="AQ10" s="99" t="s">
        <v>128</v>
      </c>
      <c r="AR10" s="328"/>
      <c r="AS10" s="99" t="s">
        <v>110</v>
      </c>
      <c r="AT10" s="99" t="s">
        <v>127</v>
      </c>
      <c r="AU10" s="99" t="s">
        <v>128</v>
      </c>
      <c r="AV10" s="99" t="s">
        <v>110</v>
      </c>
      <c r="AW10" s="99" t="s">
        <v>127</v>
      </c>
      <c r="AX10" s="99" t="s">
        <v>128</v>
      </c>
      <c r="AY10" s="328"/>
      <c r="AZ10" s="337"/>
      <c r="BA10" s="337"/>
      <c r="BB10" s="328"/>
      <c r="BC10" s="99" t="s">
        <v>110</v>
      </c>
      <c r="BD10" s="99" t="s">
        <v>127</v>
      </c>
      <c r="BE10" s="99" t="s">
        <v>128</v>
      </c>
      <c r="BF10" s="99" t="s">
        <v>110</v>
      </c>
      <c r="BG10" s="99" t="s">
        <v>127</v>
      </c>
      <c r="BH10" s="99" t="s">
        <v>128</v>
      </c>
      <c r="BI10" s="328"/>
      <c r="BJ10" s="99" t="s">
        <v>110</v>
      </c>
      <c r="BK10" s="99" t="s">
        <v>127</v>
      </c>
      <c r="BL10" s="99" t="s">
        <v>128</v>
      </c>
      <c r="BM10" s="99" t="s">
        <v>110</v>
      </c>
      <c r="BN10" s="99" t="s">
        <v>127</v>
      </c>
      <c r="BO10" s="99" t="s">
        <v>128</v>
      </c>
    </row>
    <row r="11" spans="1:69" ht="27" customHeight="1" x14ac:dyDescent="0.25">
      <c r="A11" s="99" t="s">
        <v>7</v>
      </c>
      <c r="B11" s="99" t="s">
        <v>8</v>
      </c>
      <c r="C11" s="99" t="s">
        <v>60</v>
      </c>
      <c r="D11" s="99" t="s">
        <v>676</v>
      </c>
      <c r="E11" s="99" t="s">
        <v>677</v>
      </c>
      <c r="F11" s="99" t="s">
        <v>603</v>
      </c>
      <c r="G11" s="99" t="s">
        <v>604</v>
      </c>
      <c r="H11" s="99">
        <v>6</v>
      </c>
      <c r="I11" s="99">
        <v>7</v>
      </c>
      <c r="J11" s="99" t="s">
        <v>605</v>
      </c>
      <c r="K11" s="99">
        <v>9</v>
      </c>
      <c r="L11" s="99">
        <v>10</v>
      </c>
      <c r="M11" s="99" t="s">
        <v>606</v>
      </c>
      <c r="N11" s="99" t="s">
        <v>607</v>
      </c>
      <c r="O11" s="99">
        <v>13</v>
      </c>
      <c r="P11" s="99">
        <v>14</v>
      </c>
      <c r="Q11" s="99" t="s">
        <v>608</v>
      </c>
      <c r="R11" s="99">
        <v>16</v>
      </c>
      <c r="S11" s="99">
        <v>17</v>
      </c>
      <c r="T11" s="99" t="s">
        <v>606</v>
      </c>
      <c r="U11" s="99" t="s">
        <v>607</v>
      </c>
      <c r="V11" s="99">
        <v>13</v>
      </c>
      <c r="W11" s="99">
        <v>14</v>
      </c>
      <c r="X11" s="99" t="s">
        <v>608</v>
      </c>
      <c r="Y11" s="99">
        <v>16</v>
      </c>
      <c r="Z11" s="99">
        <v>17</v>
      </c>
      <c r="AA11" s="99" t="s">
        <v>678</v>
      </c>
      <c r="AB11" s="99" t="s">
        <v>679</v>
      </c>
      <c r="AC11" s="99" t="s">
        <v>680</v>
      </c>
      <c r="AD11" s="99" t="s">
        <v>681</v>
      </c>
      <c r="AE11" s="99" t="s">
        <v>682</v>
      </c>
      <c r="AF11" s="99">
        <v>8</v>
      </c>
      <c r="AG11" s="99">
        <v>9</v>
      </c>
      <c r="AH11" s="99" t="s">
        <v>683</v>
      </c>
      <c r="AI11" s="99">
        <v>11</v>
      </c>
      <c r="AJ11" s="99">
        <v>12</v>
      </c>
      <c r="AK11" s="99" t="s">
        <v>684</v>
      </c>
      <c r="AL11" s="99" t="s">
        <v>685</v>
      </c>
      <c r="AM11" s="99">
        <v>15</v>
      </c>
      <c r="AN11" s="99">
        <v>16</v>
      </c>
      <c r="AO11" s="99" t="s">
        <v>686</v>
      </c>
      <c r="AP11" s="99">
        <v>18</v>
      </c>
      <c r="AQ11" s="99">
        <v>19</v>
      </c>
      <c r="AR11" s="99" t="s">
        <v>684</v>
      </c>
      <c r="AS11" s="99" t="s">
        <v>685</v>
      </c>
      <c r="AT11" s="99">
        <v>15</v>
      </c>
      <c r="AU11" s="99">
        <v>16</v>
      </c>
      <c r="AV11" s="99" t="s">
        <v>686</v>
      </c>
      <c r="AW11" s="99">
        <v>18</v>
      </c>
      <c r="AX11" s="99">
        <v>19</v>
      </c>
      <c r="AY11" s="99" t="s">
        <v>687</v>
      </c>
      <c r="AZ11" s="99" t="s">
        <v>688</v>
      </c>
      <c r="BA11" s="99" t="s">
        <v>689</v>
      </c>
      <c r="BB11" s="99" t="s">
        <v>690</v>
      </c>
      <c r="BC11" s="99" t="s">
        <v>691</v>
      </c>
      <c r="BD11" s="99" t="s">
        <v>692</v>
      </c>
      <c r="BE11" s="99" t="s">
        <v>693</v>
      </c>
      <c r="BF11" s="99" t="s">
        <v>694</v>
      </c>
      <c r="BG11" s="99" t="s">
        <v>695</v>
      </c>
      <c r="BH11" s="99" t="s">
        <v>696</v>
      </c>
      <c r="BI11" s="99" t="s">
        <v>697</v>
      </c>
      <c r="BJ11" s="99" t="s">
        <v>698</v>
      </c>
      <c r="BK11" s="99" t="s">
        <v>699</v>
      </c>
      <c r="BL11" s="99" t="s">
        <v>700</v>
      </c>
      <c r="BM11" s="99" t="s">
        <v>701</v>
      </c>
      <c r="BN11" s="99" t="s">
        <v>702</v>
      </c>
      <c r="BO11" s="99" t="s">
        <v>703</v>
      </c>
    </row>
    <row r="12" spans="1:69" x14ac:dyDescent="0.25">
      <c r="A12" s="304"/>
      <c r="B12" s="305" t="s">
        <v>98</v>
      </c>
      <c r="C12" s="306">
        <f t="shared" ref="C12:AX12" si="0">C13+C41</f>
        <v>1274696</v>
      </c>
      <c r="D12" s="306">
        <f t="shared" si="0"/>
        <v>706749</v>
      </c>
      <c r="E12" s="306">
        <f t="shared" si="0"/>
        <v>567947</v>
      </c>
      <c r="F12" s="306">
        <f t="shared" si="0"/>
        <v>283570</v>
      </c>
      <c r="G12" s="306">
        <f t="shared" si="0"/>
        <v>141429</v>
      </c>
      <c r="H12" s="306">
        <f t="shared" si="0"/>
        <v>141429</v>
      </c>
      <c r="I12" s="306">
        <f t="shared" si="0"/>
        <v>0</v>
      </c>
      <c r="J12" s="306">
        <f t="shared" si="0"/>
        <v>142141</v>
      </c>
      <c r="K12" s="306">
        <f t="shared" si="0"/>
        <v>142141</v>
      </c>
      <c r="L12" s="306">
        <f t="shared" si="0"/>
        <v>0</v>
      </c>
      <c r="M12" s="306">
        <f t="shared" si="0"/>
        <v>169924</v>
      </c>
      <c r="N12" s="306">
        <f t="shared" si="0"/>
        <v>135724</v>
      </c>
      <c r="O12" s="306">
        <f t="shared" si="0"/>
        <v>135724</v>
      </c>
      <c r="P12" s="306">
        <f t="shared" si="0"/>
        <v>0</v>
      </c>
      <c r="Q12" s="306">
        <f t="shared" si="0"/>
        <v>34200</v>
      </c>
      <c r="R12" s="306">
        <f t="shared" si="0"/>
        <v>34200</v>
      </c>
      <c r="S12" s="306">
        <f t="shared" si="0"/>
        <v>0</v>
      </c>
      <c r="T12" s="306">
        <f t="shared" si="0"/>
        <v>821202</v>
      </c>
      <c r="U12" s="306">
        <f t="shared" si="0"/>
        <v>429596</v>
      </c>
      <c r="V12" s="306">
        <f t="shared" si="0"/>
        <v>429596</v>
      </c>
      <c r="W12" s="306">
        <f t="shared" si="0"/>
        <v>0</v>
      </c>
      <c r="X12" s="306">
        <f t="shared" si="0"/>
        <v>391606</v>
      </c>
      <c r="Y12" s="306">
        <f t="shared" si="0"/>
        <v>391606</v>
      </c>
      <c r="Z12" s="306">
        <f t="shared" si="0"/>
        <v>0</v>
      </c>
      <c r="AA12" s="306">
        <f t="shared" si="0"/>
        <v>1283926.966634</v>
      </c>
      <c r="AB12" s="306">
        <f t="shared" si="0"/>
        <v>856611.68549300008</v>
      </c>
      <c r="AC12" s="306">
        <f t="shared" si="0"/>
        <v>427315.28114099993</v>
      </c>
      <c r="AD12" s="306">
        <f t="shared" si="0"/>
        <v>330679.91708099999</v>
      </c>
      <c r="AE12" s="306">
        <f t="shared" si="0"/>
        <v>198420.756983</v>
      </c>
      <c r="AF12" s="306">
        <f t="shared" si="0"/>
        <v>198420.756983</v>
      </c>
      <c r="AG12" s="306">
        <f t="shared" si="0"/>
        <v>0</v>
      </c>
      <c r="AH12" s="306">
        <f t="shared" si="0"/>
        <v>132259.16009799999</v>
      </c>
      <c r="AI12" s="306">
        <f t="shared" si="0"/>
        <v>132259.16009799999</v>
      </c>
      <c r="AJ12" s="306">
        <f t="shared" si="0"/>
        <v>0</v>
      </c>
      <c r="AK12" s="306">
        <f t="shared" si="0"/>
        <v>242999.21761699999</v>
      </c>
      <c r="AL12" s="306">
        <f t="shared" si="0"/>
        <v>183029.41902</v>
      </c>
      <c r="AM12" s="306">
        <f t="shared" si="0"/>
        <v>183029.41902</v>
      </c>
      <c r="AN12" s="306">
        <f t="shared" si="0"/>
        <v>0</v>
      </c>
      <c r="AO12" s="306">
        <f t="shared" si="0"/>
        <v>59969.798596999986</v>
      </c>
      <c r="AP12" s="306">
        <f t="shared" si="0"/>
        <v>59969.798596999986</v>
      </c>
      <c r="AQ12" s="306">
        <f t="shared" si="0"/>
        <v>0</v>
      </c>
      <c r="AR12" s="306">
        <f t="shared" si="0"/>
        <v>710247.83193599992</v>
      </c>
      <c r="AS12" s="306">
        <f t="shared" si="0"/>
        <v>475161.50949000008</v>
      </c>
      <c r="AT12" s="306">
        <f t="shared" si="0"/>
        <v>475161.50949000008</v>
      </c>
      <c r="AU12" s="306">
        <f t="shared" si="0"/>
        <v>0</v>
      </c>
      <c r="AV12" s="306">
        <f t="shared" si="0"/>
        <v>235086.32244599998</v>
      </c>
      <c r="AW12" s="306">
        <f t="shared" si="0"/>
        <v>235086.32244599998</v>
      </c>
      <c r="AX12" s="306">
        <f t="shared" si="0"/>
        <v>0</v>
      </c>
      <c r="AY12" s="307">
        <f>AA12/C12</f>
        <v>1.0072417004791729</v>
      </c>
      <c r="AZ12" s="307">
        <f t="shared" ref="AZ12:BN27" si="1">AB12/D12</f>
        <v>1.2120451327034067</v>
      </c>
      <c r="BA12" s="307">
        <f t="shared" si="1"/>
        <v>0.7523858408284575</v>
      </c>
      <c r="BB12" s="307">
        <f t="shared" si="1"/>
        <v>1.1661315268928307</v>
      </c>
      <c r="BC12" s="307">
        <f t="shared" si="1"/>
        <v>1.402970797948087</v>
      </c>
      <c r="BD12" s="307">
        <f t="shared" si="1"/>
        <v>1.402970797948087</v>
      </c>
      <c r="BE12" s="307"/>
      <c r="BF12" s="307">
        <f t="shared" si="1"/>
        <v>0.93047860995771803</v>
      </c>
      <c r="BG12" s="307">
        <f t="shared" si="1"/>
        <v>0.93047860995771803</v>
      </c>
      <c r="BH12" s="307"/>
      <c r="BI12" s="307">
        <f t="shared" si="1"/>
        <v>1.4300464773486969</v>
      </c>
      <c r="BJ12" s="307">
        <f t="shared" si="1"/>
        <v>1.3485412971913588</v>
      </c>
      <c r="BK12" s="307">
        <f t="shared" si="1"/>
        <v>1.3485412971913588</v>
      </c>
      <c r="BL12" s="307"/>
      <c r="BM12" s="307">
        <f t="shared" si="1"/>
        <v>1.753502882953216</v>
      </c>
      <c r="BN12" s="307">
        <f t="shared" si="1"/>
        <v>1.753502882953216</v>
      </c>
      <c r="BO12" s="307"/>
    </row>
    <row r="13" spans="1:69" x14ac:dyDescent="0.25">
      <c r="A13" s="133" t="s">
        <v>39</v>
      </c>
      <c r="B13" s="126" t="s">
        <v>250</v>
      </c>
      <c r="C13" s="306">
        <f t="shared" ref="C13:AX13" si="2">SUM(C14:C40)</f>
        <v>248701</v>
      </c>
      <c r="D13" s="306">
        <f t="shared" si="2"/>
        <v>99396</v>
      </c>
      <c r="E13" s="306">
        <f t="shared" si="2"/>
        <v>149305</v>
      </c>
      <c r="F13" s="306">
        <f t="shared" si="2"/>
        <v>31709</v>
      </c>
      <c r="G13" s="306">
        <f t="shared" si="2"/>
        <v>19993</v>
      </c>
      <c r="H13" s="306">
        <f t="shared" si="2"/>
        <v>19993</v>
      </c>
      <c r="I13" s="306">
        <f t="shared" si="2"/>
        <v>0</v>
      </c>
      <c r="J13" s="306">
        <f t="shared" si="2"/>
        <v>11716</v>
      </c>
      <c r="K13" s="306">
        <f t="shared" si="2"/>
        <v>11716</v>
      </c>
      <c r="L13" s="306">
        <f t="shared" si="2"/>
        <v>0</v>
      </c>
      <c r="M13" s="306">
        <f t="shared" si="2"/>
        <v>36362</v>
      </c>
      <c r="N13" s="306">
        <f t="shared" si="2"/>
        <v>31594</v>
      </c>
      <c r="O13" s="306">
        <f t="shared" si="2"/>
        <v>31594</v>
      </c>
      <c r="P13" s="306">
        <f t="shared" si="2"/>
        <v>0</v>
      </c>
      <c r="Q13" s="306">
        <f t="shared" si="2"/>
        <v>4768</v>
      </c>
      <c r="R13" s="306">
        <f t="shared" si="2"/>
        <v>4768</v>
      </c>
      <c r="S13" s="306">
        <f t="shared" si="2"/>
        <v>0</v>
      </c>
      <c r="T13" s="306">
        <f t="shared" si="2"/>
        <v>180630</v>
      </c>
      <c r="U13" s="306">
        <f t="shared" si="2"/>
        <v>47809</v>
      </c>
      <c r="V13" s="306">
        <f t="shared" si="2"/>
        <v>47809</v>
      </c>
      <c r="W13" s="306">
        <f t="shared" si="2"/>
        <v>0</v>
      </c>
      <c r="X13" s="306">
        <f t="shared" si="2"/>
        <v>132821</v>
      </c>
      <c r="Y13" s="306">
        <f t="shared" si="2"/>
        <v>132821</v>
      </c>
      <c r="Z13" s="306">
        <f t="shared" si="2"/>
        <v>0</v>
      </c>
      <c r="AA13" s="306">
        <f t="shared" si="2"/>
        <v>158511.57658899997</v>
      </c>
      <c r="AB13" s="306">
        <f t="shared" si="2"/>
        <v>37864.328269999998</v>
      </c>
      <c r="AC13" s="306">
        <f t="shared" si="2"/>
        <v>120647.24831899996</v>
      </c>
      <c r="AD13" s="306">
        <f t="shared" si="2"/>
        <v>32551.847166999996</v>
      </c>
      <c r="AE13" s="306">
        <f t="shared" si="2"/>
        <v>22337.682628999999</v>
      </c>
      <c r="AF13" s="306">
        <f t="shared" si="2"/>
        <v>22337.682628999999</v>
      </c>
      <c r="AG13" s="306">
        <f t="shared" si="2"/>
        <v>0</v>
      </c>
      <c r="AH13" s="306">
        <f t="shared" si="2"/>
        <v>10214.164538000001</v>
      </c>
      <c r="AI13" s="306">
        <f t="shared" si="2"/>
        <v>10214.164538000001</v>
      </c>
      <c r="AJ13" s="306">
        <f t="shared" si="2"/>
        <v>0</v>
      </c>
      <c r="AK13" s="306">
        <f t="shared" si="2"/>
        <v>9754.4888759999994</v>
      </c>
      <c r="AL13" s="306">
        <f t="shared" si="2"/>
        <v>0</v>
      </c>
      <c r="AM13" s="306">
        <f t="shared" si="2"/>
        <v>0</v>
      </c>
      <c r="AN13" s="306">
        <f t="shared" si="2"/>
        <v>0</v>
      </c>
      <c r="AO13" s="306">
        <f t="shared" si="2"/>
        <v>9754.4888759999994</v>
      </c>
      <c r="AP13" s="306">
        <f t="shared" si="2"/>
        <v>9754.4888759999994</v>
      </c>
      <c r="AQ13" s="306">
        <f t="shared" si="2"/>
        <v>0</v>
      </c>
      <c r="AR13" s="306">
        <f t="shared" si="2"/>
        <v>116205.24054599997</v>
      </c>
      <c r="AS13" s="306">
        <f t="shared" si="2"/>
        <v>15526.645640999999</v>
      </c>
      <c r="AT13" s="306">
        <f t="shared" si="2"/>
        <v>15526.645640999999</v>
      </c>
      <c r="AU13" s="306">
        <f t="shared" si="2"/>
        <v>0</v>
      </c>
      <c r="AV13" s="306">
        <f t="shared" si="2"/>
        <v>100678.59490499998</v>
      </c>
      <c r="AW13" s="306">
        <f t="shared" si="2"/>
        <v>100678.59490499998</v>
      </c>
      <c r="AX13" s="306">
        <f t="shared" si="2"/>
        <v>0</v>
      </c>
      <c r="AY13" s="307">
        <f>AA13/C13</f>
        <v>0.63735801862075336</v>
      </c>
      <c r="AZ13" s="307">
        <f t="shared" si="1"/>
        <v>0.38094418558090865</v>
      </c>
      <c r="BA13" s="307">
        <f t="shared" si="1"/>
        <v>0.80805899547235505</v>
      </c>
      <c r="BB13" s="307">
        <f t="shared" si="1"/>
        <v>1.0265806921378786</v>
      </c>
      <c r="BC13" s="307">
        <f t="shared" si="1"/>
        <v>1.1172751777622167</v>
      </c>
      <c r="BD13" s="307">
        <f t="shared" si="1"/>
        <v>1.1172751777622167</v>
      </c>
      <c r="BE13" s="307"/>
      <c r="BF13" s="307">
        <f t="shared" si="1"/>
        <v>0.8718132927620349</v>
      </c>
      <c r="BG13" s="307">
        <f t="shared" si="1"/>
        <v>0.8718132927620349</v>
      </c>
      <c r="BH13" s="307"/>
      <c r="BI13" s="307">
        <f t="shared" si="1"/>
        <v>0.26826051581321159</v>
      </c>
      <c r="BJ13" s="307">
        <f t="shared" si="1"/>
        <v>0</v>
      </c>
      <c r="BK13" s="307">
        <f t="shared" si="1"/>
        <v>0</v>
      </c>
      <c r="BL13" s="307"/>
      <c r="BM13" s="307">
        <f t="shared" si="1"/>
        <v>2.0458240092281876</v>
      </c>
      <c r="BN13" s="307">
        <f t="shared" si="1"/>
        <v>2.0458240092281876</v>
      </c>
      <c r="BO13" s="307"/>
    </row>
    <row r="14" spans="1:69" ht="25.5" x14ac:dyDescent="0.25">
      <c r="A14" s="123">
        <v>1</v>
      </c>
      <c r="B14" s="124" t="s">
        <v>609</v>
      </c>
      <c r="C14" s="100">
        <f t="shared" ref="C14:C40" si="3">D14+E14</f>
        <v>27972</v>
      </c>
      <c r="D14" s="101">
        <f>G14+U14+N14</f>
        <v>0</v>
      </c>
      <c r="E14" s="101">
        <f>J14+X14+Q14</f>
        <v>27972</v>
      </c>
      <c r="F14" s="101">
        <f t="shared" ref="F14:F40" si="4">G14+J14</f>
        <v>343</v>
      </c>
      <c r="G14" s="101">
        <f t="shared" ref="G14:G40" si="5">H14+I14</f>
        <v>0</v>
      </c>
      <c r="H14" s="101"/>
      <c r="I14" s="101"/>
      <c r="J14" s="101">
        <f t="shared" ref="J14:J40" si="6">K14+L14</f>
        <v>343</v>
      </c>
      <c r="K14" s="101">
        <v>343</v>
      </c>
      <c r="L14" s="101"/>
      <c r="M14" s="101">
        <f t="shared" ref="M14:M40" si="7">N14+Q14</f>
        <v>724</v>
      </c>
      <c r="N14" s="101">
        <f t="shared" ref="N14:N40" si="8">O14+P14</f>
        <v>0</v>
      </c>
      <c r="O14" s="101">
        <f>1940-1940</f>
        <v>0</v>
      </c>
      <c r="P14" s="101"/>
      <c r="Q14" s="101">
        <f t="shared" ref="Q14:Q40" si="9">R14+S14</f>
        <v>724</v>
      </c>
      <c r="R14" s="101">
        <v>724</v>
      </c>
      <c r="S14" s="101"/>
      <c r="T14" s="101">
        <f t="shared" ref="T14:T40" si="10">U14+X14</f>
        <v>26905</v>
      </c>
      <c r="U14" s="101">
        <f t="shared" ref="U14:U40" si="11">V14+W14</f>
        <v>0</v>
      </c>
      <c r="V14" s="101">
        <f>8572-8572</f>
        <v>0</v>
      </c>
      <c r="W14" s="101"/>
      <c r="X14" s="101">
        <f t="shared" ref="X14:X40" si="12">Y14+Z14</f>
        <v>26905</v>
      </c>
      <c r="Y14" s="101">
        <f>16848+10057</f>
        <v>26905</v>
      </c>
      <c r="Z14" s="101"/>
      <c r="AA14" s="308">
        <f t="shared" ref="AA14:AA40" si="13">AB14+AC14</f>
        <v>11729.145777</v>
      </c>
      <c r="AB14" s="149">
        <f>AE14+AS14+AL14</f>
        <v>0</v>
      </c>
      <c r="AC14" s="149">
        <f>AH14+AV14+AO14</f>
        <v>11729.145777</v>
      </c>
      <c r="AD14" s="149">
        <f t="shared" ref="AD14:AD40" si="14">AE14+AH14</f>
        <v>310.42495200000002</v>
      </c>
      <c r="AE14" s="101">
        <f t="shared" ref="AE14:AE40" si="15">AF14+AG14</f>
        <v>0</v>
      </c>
      <c r="AF14" s="101"/>
      <c r="AG14" s="101"/>
      <c r="AH14" s="101">
        <f t="shared" ref="AH14:AH40" si="16">AI14+AJ14</f>
        <v>310.42495200000002</v>
      </c>
      <c r="AI14" s="101">
        <v>310.42495200000002</v>
      </c>
      <c r="AJ14" s="101"/>
      <c r="AK14" s="101">
        <f t="shared" ref="AK14:AK40" si="17">AL14+AO14</f>
        <v>1279.5691750000001</v>
      </c>
      <c r="AL14" s="101">
        <f t="shared" ref="AL14:AL40" si="18">AM14+AN14</f>
        <v>0</v>
      </c>
      <c r="AM14" s="309"/>
      <c r="AN14" s="101"/>
      <c r="AO14" s="101">
        <f t="shared" ref="AO14:AO40" si="19">AP14+AQ14</f>
        <v>1279.5691750000001</v>
      </c>
      <c r="AP14" s="101">
        <f>2797.029175-1517.46</f>
        <v>1279.5691750000001</v>
      </c>
      <c r="AQ14" s="101"/>
      <c r="AR14" s="101">
        <f t="shared" ref="AR14:AR40" si="20">AS14+AV14</f>
        <v>10139.15165</v>
      </c>
      <c r="AS14" s="101">
        <f t="shared" ref="AS14:AS40" si="21">AT14+AU14</f>
        <v>0</v>
      </c>
      <c r="AT14" s="309"/>
      <c r="AU14" s="101"/>
      <c r="AV14" s="101">
        <f t="shared" ref="AV14:AV40" si="22">AW14+AX14</f>
        <v>10139.15165</v>
      </c>
      <c r="AW14" s="101">
        <v>10139.15165</v>
      </c>
      <c r="AX14" s="101"/>
      <c r="AY14" s="310">
        <f t="shared" ref="AY14:BN29" si="23">AA14/C14</f>
        <v>0.41931738084513082</v>
      </c>
      <c r="AZ14" s="310"/>
      <c r="BA14" s="310">
        <f t="shared" si="1"/>
        <v>0.41931738084513082</v>
      </c>
      <c r="BB14" s="310">
        <f t="shared" si="1"/>
        <v>0.90502901457725948</v>
      </c>
      <c r="BC14" s="310"/>
      <c r="BD14" s="310"/>
      <c r="BE14" s="310"/>
      <c r="BF14" s="310">
        <f t="shared" si="1"/>
        <v>0.90502901457725948</v>
      </c>
      <c r="BG14" s="310">
        <f t="shared" si="1"/>
        <v>0.90502901457725948</v>
      </c>
      <c r="BH14" s="310"/>
      <c r="BI14" s="310">
        <f t="shared" si="1"/>
        <v>1.7673607389502763</v>
      </c>
      <c r="BJ14" s="310"/>
      <c r="BK14" s="310"/>
      <c r="BL14" s="310"/>
      <c r="BM14" s="310">
        <f t="shared" si="1"/>
        <v>1.7673607389502763</v>
      </c>
      <c r="BN14" s="310">
        <f t="shared" si="1"/>
        <v>1.7673607389502763</v>
      </c>
      <c r="BO14" s="310"/>
      <c r="BQ14" s="303"/>
    </row>
    <row r="15" spans="1:69" ht="25.5" x14ac:dyDescent="0.25">
      <c r="A15" s="123">
        <v>2</v>
      </c>
      <c r="B15" s="124" t="s">
        <v>610</v>
      </c>
      <c r="C15" s="100">
        <f t="shared" si="3"/>
        <v>8487</v>
      </c>
      <c r="D15" s="101">
        <f t="shared" ref="D15:D40" si="24">G15+U15+N15</f>
        <v>3283</v>
      </c>
      <c r="E15" s="101">
        <f t="shared" ref="E15:E40" si="25">J15+X15+Q15</f>
        <v>5204</v>
      </c>
      <c r="F15" s="101">
        <f t="shared" si="4"/>
        <v>7344</v>
      </c>
      <c r="G15" s="101">
        <f t="shared" si="5"/>
        <v>3283</v>
      </c>
      <c r="H15" s="101">
        <v>3283</v>
      </c>
      <c r="I15" s="101"/>
      <c r="J15" s="101">
        <f t="shared" si="6"/>
        <v>4061</v>
      </c>
      <c r="K15" s="101">
        <v>4061</v>
      </c>
      <c r="L15" s="101"/>
      <c r="M15" s="101">
        <f t="shared" si="7"/>
        <v>0</v>
      </c>
      <c r="N15" s="101">
        <f t="shared" si="8"/>
        <v>0</v>
      </c>
      <c r="O15" s="101">
        <v>0</v>
      </c>
      <c r="P15" s="101"/>
      <c r="Q15" s="101">
        <f t="shared" si="9"/>
        <v>0</v>
      </c>
      <c r="R15" s="101"/>
      <c r="S15" s="101"/>
      <c r="T15" s="101">
        <f t="shared" si="10"/>
        <v>1143</v>
      </c>
      <c r="U15" s="101">
        <f t="shared" si="11"/>
        <v>0</v>
      </c>
      <c r="V15" s="101">
        <v>0</v>
      </c>
      <c r="W15" s="101"/>
      <c r="X15" s="101">
        <f t="shared" si="12"/>
        <v>1143</v>
      </c>
      <c r="Y15" s="101">
        <v>1143</v>
      </c>
      <c r="Z15" s="101"/>
      <c r="AA15" s="308">
        <f t="shared" si="13"/>
        <v>1796.335521</v>
      </c>
      <c r="AB15" s="149">
        <f t="shared" ref="AB15:AB40" si="26">AE15+AS15+AL15</f>
        <v>0</v>
      </c>
      <c r="AC15" s="149">
        <f t="shared" ref="AC15:AC40" si="27">AH15+AV15+AO15</f>
        <v>1796.335521</v>
      </c>
      <c r="AD15" s="149">
        <f t="shared" si="14"/>
        <v>1504.3405929999999</v>
      </c>
      <c r="AE15" s="101">
        <f t="shared" si="15"/>
        <v>0</v>
      </c>
      <c r="AF15" s="101"/>
      <c r="AG15" s="101"/>
      <c r="AH15" s="101">
        <f t="shared" si="16"/>
        <v>1504.3405929999999</v>
      </c>
      <c r="AI15" s="101">
        <v>1504.3405929999999</v>
      </c>
      <c r="AJ15" s="101"/>
      <c r="AK15" s="101">
        <f t="shared" si="17"/>
        <v>0</v>
      </c>
      <c r="AL15" s="101">
        <f t="shared" si="18"/>
        <v>0</v>
      </c>
      <c r="AM15" s="309"/>
      <c r="AN15" s="101"/>
      <c r="AO15" s="101">
        <f t="shared" si="19"/>
        <v>0</v>
      </c>
      <c r="AP15" s="101"/>
      <c r="AQ15" s="101"/>
      <c r="AR15" s="101">
        <f t="shared" si="20"/>
        <v>291.99492800000002</v>
      </c>
      <c r="AS15" s="101">
        <f t="shared" si="21"/>
        <v>0</v>
      </c>
      <c r="AT15" s="309"/>
      <c r="AU15" s="101"/>
      <c r="AV15" s="101">
        <f t="shared" si="22"/>
        <v>291.99492800000002</v>
      </c>
      <c r="AW15" s="101">
        <v>291.99492800000002</v>
      </c>
      <c r="AX15" s="101"/>
      <c r="AY15" s="310">
        <f t="shared" si="23"/>
        <v>0.21165730187345352</v>
      </c>
      <c r="AZ15" s="310">
        <f t="shared" si="1"/>
        <v>0</v>
      </c>
      <c r="BA15" s="310">
        <f t="shared" si="1"/>
        <v>0.34518361279784782</v>
      </c>
      <c r="BB15" s="310">
        <f t="shared" si="1"/>
        <v>0.20483940536492373</v>
      </c>
      <c r="BC15" s="310">
        <f t="shared" si="1"/>
        <v>0</v>
      </c>
      <c r="BD15" s="310">
        <f t="shared" si="1"/>
        <v>0</v>
      </c>
      <c r="BE15" s="310"/>
      <c r="BF15" s="310">
        <f t="shared" si="1"/>
        <v>0.37043599926126569</v>
      </c>
      <c r="BG15" s="310">
        <f t="shared" si="1"/>
        <v>0.37043599926126569</v>
      </c>
      <c r="BH15" s="310"/>
      <c r="BI15" s="310"/>
      <c r="BJ15" s="310"/>
      <c r="BK15" s="310"/>
      <c r="BL15" s="310"/>
      <c r="BM15" s="310"/>
      <c r="BN15" s="310"/>
      <c r="BO15" s="310"/>
      <c r="BQ15" s="303"/>
    </row>
    <row r="16" spans="1:69" x14ac:dyDescent="0.25">
      <c r="A16" s="123">
        <v>3</v>
      </c>
      <c r="B16" s="124" t="s">
        <v>704</v>
      </c>
      <c r="C16" s="100">
        <f t="shared" si="3"/>
        <v>22678</v>
      </c>
      <c r="D16" s="101">
        <f t="shared" si="24"/>
        <v>2506</v>
      </c>
      <c r="E16" s="101">
        <f t="shared" si="25"/>
        <v>20172</v>
      </c>
      <c r="F16" s="101">
        <f t="shared" si="4"/>
        <v>0</v>
      </c>
      <c r="G16" s="101">
        <f t="shared" si="5"/>
        <v>0</v>
      </c>
      <c r="H16" s="101"/>
      <c r="I16" s="101"/>
      <c r="J16" s="101">
        <f t="shared" si="6"/>
        <v>0</v>
      </c>
      <c r="K16" s="101"/>
      <c r="L16" s="101"/>
      <c r="M16" s="101">
        <f t="shared" si="7"/>
        <v>0</v>
      </c>
      <c r="N16" s="101">
        <f t="shared" si="8"/>
        <v>0</v>
      </c>
      <c r="O16" s="101"/>
      <c r="P16" s="101"/>
      <c r="Q16" s="101">
        <f t="shared" si="9"/>
        <v>0</v>
      </c>
      <c r="R16" s="101"/>
      <c r="S16" s="101"/>
      <c r="T16" s="101">
        <f t="shared" si="10"/>
        <v>22678</v>
      </c>
      <c r="U16" s="101">
        <f t="shared" si="11"/>
        <v>2506</v>
      </c>
      <c r="V16" s="101">
        <v>2506</v>
      </c>
      <c r="W16" s="101"/>
      <c r="X16" s="101">
        <f t="shared" si="12"/>
        <v>20172</v>
      </c>
      <c r="Y16" s="101">
        <f>19601+571</f>
        <v>20172</v>
      </c>
      <c r="Z16" s="101"/>
      <c r="AA16" s="308">
        <f t="shared" si="13"/>
        <v>16894.799274000001</v>
      </c>
      <c r="AB16" s="149">
        <f t="shared" si="26"/>
        <v>4291</v>
      </c>
      <c r="AC16" s="149">
        <f t="shared" si="27"/>
        <v>12603.799274000001</v>
      </c>
      <c r="AD16" s="149">
        <f t="shared" si="14"/>
        <v>0</v>
      </c>
      <c r="AE16" s="101">
        <f t="shared" si="15"/>
        <v>0</v>
      </c>
      <c r="AF16" s="101"/>
      <c r="AG16" s="101"/>
      <c r="AH16" s="101">
        <f t="shared" si="16"/>
        <v>0</v>
      </c>
      <c r="AI16" s="101"/>
      <c r="AJ16" s="101"/>
      <c r="AK16" s="101">
        <f t="shared" si="17"/>
        <v>0</v>
      </c>
      <c r="AL16" s="101">
        <f t="shared" si="18"/>
        <v>0</v>
      </c>
      <c r="AM16" s="309"/>
      <c r="AN16" s="101"/>
      <c r="AO16" s="101">
        <f t="shared" si="19"/>
        <v>0</v>
      </c>
      <c r="AP16" s="101"/>
      <c r="AQ16" s="101"/>
      <c r="AR16" s="101">
        <f t="shared" si="20"/>
        <v>16894.799274000001</v>
      </c>
      <c r="AS16" s="101">
        <f t="shared" si="21"/>
        <v>4291</v>
      </c>
      <c r="AT16" s="309">
        <v>4291</v>
      </c>
      <c r="AU16" s="101"/>
      <c r="AV16" s="101">
        <f t="shared" si="22"/>
        <v>12603.799274000001</v>
      </c>
      <c r="AW16" s="101">
        <v>12603.799274000001</v>
      </c>
      <c r="AX16" s="101"/>
      <c r="AY16" s="310">
        <f t="shared" si="23"/>
        <v>0.74498629835082464</v>
      </c>
      <c r="AZ16" s="310">
        <f t="shared" si="1"/>
        <v>1.7122905027932962</v>
      </c>
      <c r="BA16" s="310">
        <f t="shared" si="1"/>
        <v>0.62481654144358523</v>
      </c>
      <c r="BB16" s="310"/>
      <c r="BC16" s="310"/>
      <c r="BD16" s="310"/>
      <c r="BE16" s="310"/>
      <c r="BF16" s="310"/>
      <c r="BG16" s="310"/>
      <c r="BH16" s="310"/>
      <c r="BI16" s="310"/>
      <c r="BJ16" s="310"/>
      <c r="BK16" s="310"/>
      <c r="BL16" s="310"/>
      <c r="BM16" s="310"/>
      <c r="BN16" s="310"/>
      <c r="BO16" s="310"/>
      <c r="BQ16" s="303"/>
    </row>
    <row r="17" spans="1:69" x14ac:dyDescent="0.25">
      <c r="A17" s="123">
        <v>4</v>
      </c>
      <c r="B17" s="124" t="s">
        <v>611</v>
      </c>
      <c r="C17" s="100">
        <f t="shared" si="3"/>
        <v>408</v>
      </c>
      <c r="D17" s="101">
        <f t="shared" si="24"/>
        <v>0</v>
      </c>
      <c r="E17" s="101">
        <f t="shared" si="25"/>
        <v>408</v>
      </c>
      <c r="F17" s="101">
        <f t="shared" si="4"/>
        <v>0</v>
      </c>
      <c r="G17" s="101">
        <f t="shared" si="5"/>
        <v>0</v>
      </c>
      <c r="H17" s="101"/>
      <c r="I17" s="101"/>
      <c r="J17" s="101">
        <f t="shared" si="6"/>
        <v>0</v>
      </c>
      <c r="K17" s="101"/>
      <c r="L17" s="101"/>
      <c r="M17" s="101">
        <f t="shared" si="7"/>
        <v>0</v>
      </c>
      <c r="N17" s="101">
        <f t="shared" si="8"/>
        <v>0</v>
      </c>
      <c r="O17" s="101"/>
      <c r="P17" s="101"/>
      <c r="Q17" s="101">
        <f t="shared" si="9"/>
        <v>0</v>
      </c>
      <c r="R17" s="101"/>
      <c r="S17" s="101"/>
      <c r="T17" s="101">
        <f t="shared" si="10"/>
        <v>408</v>
      </c>
      <c r="U17" s="101">
        <f t="shared" si="11"/>
        <v>0</v>
      </c>
      <c r="V17" s="101">
        <v>0</v>
      </c>
      <c r="W17" s="101"/>
      <c r="X17" s="101">
        <f t="shared" si="12"/>
        <v>408</v>
      </c>
      <c r="Y17" s="101">
        <v>408</v>
      </c>
      <c r="Z17" s="101"/>
      <c r="AA17" s="308">
        <f t="shared" si="13"/>
        <v>458.27699999999999</v>
      </c>
      <c r="AB17" s="149">
        <f t="shared" si="26"/>
        <v>0</v>
      </c>
      <c r="AC17" s="149">
        <f t="shared" si="27"/>
        <v>458.27699999999999</v>
      </c>
      <c r="AD17" s="149">
        <f t="shared" si="14"/>
        <v>0</v>
      </c>
      <c r="AE17" s="101">
        <f t="shared" si="15"/>
        <v>0</v>
      </c>
      <c r="AF17" s="101"/>
      <c r="AG17" s="101"/>
      <c r="AH17" s="101">
        <f t="shared" si="16"/>
        <v>0</v>
      </c>
      <c r="AI17" s="101"/>
      <c r="AJ17" s="101"/>
      <c r="AK17" s="101">
        <f t="shared" si="17"/>
        <v>0</v>
      </c>
      <c r="AL17" s="101">
        <f t="shared" si="18"/>
        <v>0</v>
      </c>
      <c r="AM17" s="309"/>
      <c r="AN17" s="101"/>
      <c r="AO17" s="101">
        <f t="shared" si="19"/>
        <v>0</v>
      </c>
      <c r="AP17" s="101"/>
      <c r="AQ17" s="101"/>
      <c r="AR17" s="101">
        <f t="shared" si="20"/>
        <v>458.27699999999999</v>
      </c>
      <c r="AS17" s="101">
        <f t="shared" si="21"/>
        <v>0</v>
      </c>
      <c r="AT17" s="309"/>
      <c r="AU17" s="101"/>
      <c r="AV17" s="101">
        <f t="shared" si="22"/>
        <v>458.27699999999999</v>
      </c>
      <c r="AW17" s="101">
        <v>458.27699999999999</v>
      </c>
      <c r="AX17" s="101"/>
      <c r="AY17" s="310">
        <f t="shared" si="23"/>
        <v>1.1232279411764705</v>
      </c>
      <c r="AZ17" s="310"/>
      <c r="BA17" s="310">
        <f t="shared" si="1"/>
        <v>1.1232279411764705</v>
      </c>
      <c r="BB17" s="310"/>
      <c r="BC17" s="310"/>
      <c r="BD17" s="310"/>
      <c r="BE17" s="310"/>
      <c r="BF17" s="310"/>
      <c r="BG17" s="310"/>
      <c r="BH17" s="310"/>
      <c r="BI17" s="310"/>
      <c r="BJ17" s="310"/>
      <c r="BK17" s="310"/>
      <c r="BL17" s="310"/>
      <c r="BM17" s="310"/>
      <c r="BN17" s="310"/>
      <c r="BO17" s="310"/>
      <c r="BQ17" s="303"/>
    </row>
    <row r="18" spans="1:69" x14ac:dyDescent="0.25">
      <c r="A18" s="123">
        <v>5</v>
      </c>
      <c r="B18" s="124" t="s">
        <v>612</v>
      </c>
      <c r="C18" s="100">
        <f t="shared" si="3"/>
        <v>72135</v>
      </c>
      <c r="D18" s="101">
        <f t="shared" si="24"/>
        <v>27433</v>
      </c>
      <c r="E18" s="101">
        <f t="shared" si="25"/>
        <v>44702</v>
      </c>
      <c r="F18" s="101">
        <f t="shared" si="4"/>
        <v>0</v>
      </c>
      <c r="G18" s="101">
        <f t="shared" si="5"/>
        <v>0</v>
      </c>
      <c r="H18" s="101"/>
      <c r="I18" s="101"/>
      <c r="J18" s="101">
        <f t="shared" si="6"/>
        <v>0</v>
      </c>
      <c r="K18" s="101"/>
      <c r="L18" s="101"/>
      <c r="M18" s="101">
        <f t="shared" si="7"/>
        <v>0</v>
      </c>
      <c r="N18" s="101">
        <f t="shared" si="8"/>
        <v>0</v>
      </c>
      <c r="O18" s="101"/>
      <c r="P18" s="101"/>
      <c r="Q18" s="101">
        <f t="shared" si="9"/>
        <v>0</v>
      </c>
      <c r="R18" s="101"/>
      <c r="S18" s="101"/>
      <c r="T18" s="101">
        <f t="shared" si="10"/>
        <v>72135</v>
      </c>
      <c r="U18" s="101">
        <f t="shared" si="11"/>
        <v>27433</v>
      </c>
      <c r="V18" s="101">
        <v>27433</v>
      </c>
      <c r="W18" s="101"/>
      <c r="X18" s="101">
        <f t="shared" si="12"/>
        <v>44702</v>
      </c>
      <c r="Y18" s="101">
        <f>38759+1200+4743</f>
        <v>44702</v>
      </c>
      <c r="Z18" s="101"/>
      <c r="AA18" s="308">
        <f t="shared" si="13"/>
        <v>62452.842999999993</v>
      </c>
      <c r="AB18" s="149">
        <f t="shared" si="26"/>
        <v>10668.424999999999</v>
      </c>
      <c r="AC18" s="149">
        <f t="shared" si="27"/>
        <v>51784.417999999998</v>
      </c>
      <c r="AD18" s="149">
        <f t="shared" si="14"/>
        <v>0</v>
      </c>
      <c r="AE18" s="101">
        <f t="shared" si="15"/>
        <v>0</v>
      </c>
      <c r="AF18" s="101"/>
      <c r="AG18" s="101"/>
      <c r="AH18" s="101">
        <f t="shared" si="16"/>
        <v>0</v>
      </c>
      <c r="AI18" s="101"/>
      <c r="AJ18" s="101"/>
      <c r="AK18" s="101">
        <f t="shared" si="17"/>
        <v>0</v>
      </c>
      <c r="AL18" s="101">
        <f t="shared" si="18"/>
        <v>0</v>
      </c>
      <c r="AM18" s="309"/>
      <c r="AN18" s="101"/>
      <c r="AO18" s="101">
        <f t="shared" si="19"/>
        <v>0</v>
      </c>
      <c r="AP18" s="101"/>
      <c r="AQ18" s="101"/>
      <c r="AR18" s="101">
        <f t="shared" si="20"/>
        <v>62452.842999999993</v>
      </c>
      <c r="AS18" s="101">
        <f t="shared" si="21"/>
        <v>10668.424999999999</v>
      </c>
      <c r="AT18" s="309">
        <v>10668.424999999999</v>
      </c>
      <c r="AU18" s="101"/>
      <c r="AV18" s="101">
        <f t="shared" si="22"/>
        <v>51784.417999999998</v>
      </c>
      <c r="AW18" s="101">
        <v>51784.417999999998</v>
      </c>
      <c r="AX18" s="101"/>
      <c r="AY18" s="310">
        <f t="shared" si="23"/>
        <v>0.86577726485062723</v>
      </c>
      <c r="AZ18" s="310">
        <f t="shared" si="1"/>
        <v>0.38889020522728096</v>
      </c>
      <c r="BA18" s="310">
        <f t="shared" si="1"/>
        <v>1.1584362668336987</v>
      </c>
      <c r="BB18" s="310"/>
      <c r="BC18" s="310"/>
      <c r="BD18" s="310"/>
      <c r="BE18" s="310"/>
      <c r="BF18" s="310"/>
      <c r="BG18" s="310"/>
      <c r="BH18" s="310"/>
      <c r="BI18" s="310"/>
      <c r="BJ18" s="310"/>
      <c r="BK18" s="310"/>
      <c r="BL18" s="310"/>
      <c r="BM18" s="310"/>
      <c r="BN18" s="310"/>
      <c r="BO18" s="310"/>
      <c r="BQ18" s="303"/>
    </row>
    <row r="19" spans="1:69" x14ac:dyDescent="0.25">
      <c r="A19" s="123">
        <v>6</v>
      </c>
      <c r="B19" s="124" t="s">
        <v>289</v>
      </c>
      <c r="C19" s="100">
        <f t="shared" si="3"/>
        <v>543</v>
      </c>
      <c r="D19" s="101">
        <f t="shared" si="24"/>
        <v>0</v>
      </c>
      <c r="E19" s="101">
        <f t="shared" si="25"/>
        <v>543</v>
      </c>
      <c r="F19" s="101">
        <f t="shared" si="4"/>
        <v>0</v>
      </c>
      <c r="G19" s="101">
        <f t="shared" si="5"/>
        <v>0</v>
      </c>
      <c r="H19" s="101"/>
      <c r="I19" s="101"/>
      <c r="J19" s="101">
        <f t="shared" si="6"/>
        <v>0</v>
      </c>
      <c r="K19" s="101"/>
      <c r="L19" s="101"/>
      <c r="M19" s="101">
        <f t="shared" si="7"/>
        <v>30</v>
      </c>
      <c r="N19" s="101">
        <f t="shared" si="8"/>
        <v>0</v>
      </c>
      <c r="O19" s="101"/>
      <c r="P19" s="101"/>
      <c r="Q19" s="101">
        <f t="shared" si="9"/>
        <v>30</v>
      </c>
      <c r="R19" s="101">
        <v>30</v>
      </c>
      <c r="S19" s="101"/>
      <c r="T19" s="101">
        <f t="shared" si="10"/>
        <v>513</v>
      </c>
      <c r="U19" s="101">
        <f t="shared" si="11"/>
        <v>0</v>
      </c>
      <c r="V19" s="101">
        <v>0</v>
      </c>
      <c r="W19" s="101"/>
      <c r="X19" s="101">
        <f t="shared" si="12"/>
        <v>513</v>
      </c>
      <c r="Y19" s="101">
        <f>1713-1200</f>
        <v>513</v>
      </c>
      <c r="Z19" s="101"/>
      <c r="AA19" s="308">
        <f t="shared" si="13"/>
        <v>46.831440000000001</v>
      </c>
      <c r="AB19" s="149">
        <f t="shared" si="26"/>
        <v>0</v>
      </c>
      <c r="AC19" s="149">
        <f t="shared" si="27"/>
        <v>46.831440000000001</v>
      </c>
      <c r="AD19" s="149">
        <f t="shared" si="14"/>
        <v>0</v>
      </c>
      <c r="AE19" s="101">
        <f t="shared" si="15"/>
        <v>0</v>
      </c>
      <c r="AF19" s="101"/>
      <c r="AG19" s="101"/>
      <c r="AH19" s="101">
        <f t="shared" si="16"/>
        <v>0</v>
      </c>
      <c r="AI19" s="101"/>
      <c r="AJ19" s="101"/>
      <c r="AK19" s="101">
        <f t="shared" si="17"/>
        <v>46.831440000000001</v>
      </c>
      <c r="AL19" s="101">
        <f t="shared" si="18"/>
        <v>0</v>
      </c>
      <c r="AM19" s="309"/>
      <c r="AN19" s="101"/>
      <c r="AO19" s="101">
        <f t="shared" si="19"/>
        <v>46.831440000000001</v>
      </c>
      <c r="AP19" s="101">
        <v>46.831440000000001</v>
      </c>
      <c r="AQ19" s="101"/>
      <c r="AR19" s="101">
        <f t="shared" si="20"/>
        <v>0</v>
      </c>
      <c r="AS19" s="101">
        <f t="shared" si="21"/>
        <v>0</v>
      </c>
      <c r="AT19" s="309"/>
      <c r="AU19" s="101"/>
      <c r="AV19" s="101">
        <f t="shared" si="22"/>
        <v>0</v>
      </c>
      <c r="AW19" s="101">
        <v>0</v>
      </c>
      <c r="AX19" s="101"/>
      <c r="AY19" s="310">
        <f t="shared" si="23"/>
        <v>8.6245745856353598E-2</v>
      </c>
      <c r="AZ19" s="310"/>
      <c r="BA19" s="310">
        <f t="shared" si="1"/>
        <v>8.6245745856353598E-2</v>
      </c>
      <c r="BB19" s="310"/>
      <c r="BC19" s="310"/>
      <c r="BD19" s="310"/>
      <c r="BE19" s="310"/>
      <c r="BF19" s="310"/>
      <c r="BG19" s="310"/>
      <c r="BH19" s="310"/>
      <c r="BI19" s="310">
        <f t="shared" si="1"/>
        <v>1.561048</v>
      </c>
      <c r="BJ19" s="310"/>
      <c r="BK19" s="310"/>
      <c r="BL19" s="310"/>
      <c r="BM19" s="310">
        <f t="shared" si="1"/>
        <v>1.561048</v>
      </c>
      <c r="BN19" s="310">
        <f t="shared" si="1"/>
        <v>1.561048</v>
      </c>
      <c r="BO19" s="310"/>
      <c r="BQ19" s="303"/>
    </row>
    <row r="20" spans="1:69" ht="25.5" x14ac:dyDescent="0.25">
      <c r="A20" s="123">
        <v>7</v>
      </c>
      <c r="B20" s="124" t="s">
        <v>613</v>
      </c>
      <c r="C20" s="100">
        <f t="shared" si="3"/>
        <v>21957</v>
      </c>
      <c r="D20" s="101">
        <f t="shared" si="24"/>
        <v>16710</v>
      </c>
      <c r="E20" s="101">
        <f t="shared" si="25"/>
        <v>5247</v>
      </c>
      <c r="F20" s="101">
        <f t="shared" si="4"/>
        <v>21957</v>
      </c>
      <c r="G20" s="101">
        <f t="shared" si="5"/>
        <v>16710</v>
      </c>
      <c r="H20" s="101">
        <v>16710</v>
      </c>
      <c r="I20" s="101"/>
      <c r="J20" s="101">
        <f t="shared" si="6"/>
        <v>5247</v>
      </c>
      <c r="K20" s="101">
        <v>5247</v>
      </c>
      <c r="L20" s="101"/>
      <c r="M20" s="101">
        <f t="shared" si="7"/>
        <v>0</v>
      </c>
      <c r="N20" s="101">
        <f t="shared" si="8"/>
        <v>0</v>
      </c>
      <c r="O20" s="101">
        <v>0</v>
      </c>
      <c r="P20" s="101"/>
      <c r="Q20" s="101">
        <f t="shared" si="9"/>
        <v>0</v>
      </c>
      <c r="R20" s="101"/>
      <c r="S20" s="101"/>
      <c r="T20" s="101">
        <f t="shared" si="10"/>
        <v>0</v>
      </c>
      <c r="U20" s="101">
        <f t="shared" si="11"/>
        <v>0</v>
      </c>
      <c r="V20" s="101"/>
      <c r="W20" s="101"/>
      <c r="X20" s="101">
        <f t="shared" si="12"/>
        <v>0</v>
      </c>
      <c r="Y20" s="101"/>
      <c r="Z20" s="101"/>
      <c r="AA20" s="308">
        <f t="shared" si="13"/>
        <v>27357.276196999999</v>
      </c>
      <c r="AB20" s="149">
        <f t="shared" si="26"/>
        <v>21152.292629</v>
      </c>
      <c r="AC20" s="149">
        <f t="shared" si="27"/>
        <v>6204.9835679999997</v>
      </c>
      <c r="AD20" s="149">
        <f t="shared" si="14"/>
        <v>27357.276196999999</v>
      </c>
      <c r="AE20" s="101">
        <f t="shared" si="15"/>
        <v>21152.292629</v>
      </c>
      <c r="AF20" s="101">
        <v>21152.292629</v>
      </c>
      <c r="AG20" s="101"/>
      <c r="AH20" s="101">
        <f t="shared" si="16"/>
        <v>6204.9835679999997</v>
      </c>
      <c r="AI20" s="101">
        <v>6204.9835679999997</v>
      </c>
      <c r="AJ20" s="101"/>
      <c r="AK20" s="101">
        <f t="shared" si="17"/>
        <v>0</v>
      </c>
      <c r="AL20" s="101">
        <f t="shared" si="18"/>
        <v>0</v>
      </c>
      <c r="AM20" s="309"/>
      <c r="AN20" s="101"/>
      <c r="AO20" s="101">
        <f t="shared" si="19"/>
        <v>0</v>
      </c>
      <c r="AP20" s="101"/>
      <c r="AQ20" s="101"/>
      <c r="AR20" s="101">
        <f t="shared" si="20"/>
        <v>0</v>
      </c>
      <c r="AS20" s="101">
        <f t="shared" si="21"/>
        <v>0</v>
      </c>
      <c r="AT20" s="309"/>
      <c r="AU20" s="101"/>
      <c r="AV20" s="101">
        <f t="shared" si="22"/>
        <v>0</v>
      </c>
      <c r="AW20" s="101"/>
      <c r="AX20" s="101"/>
      <c r="AY20" s="310">
        <f t="shared" si="23"/>
        <v>1.2459478160495514</v>
      </c>
      <c r="AZ20" s="310">
        <f t="shared" si="1"/>
        <v>1.2658463572112508</v>
      </c>
      <c r="BA20" s="310">
        <f t="shared" si="1"/>
        <v>1.1825773905088621</v>
      </c>
      <c r="BB20" s="310">
        <f t="shared" si="1"/>
        <v>1.2459478160495514</v>
      </c>
      <c r="BC20" s="310">
        <f t="shared" si="1"/>
        <v>1.2658463572112508</v>
      </c>
      <c r="BD20" s="310">
        <f t="shared" si="1"/>
        <v>1.2658463572112508</v>
      </c>
      <c r="BE20" s="310"/>
      <c r="BF20" s="310">
        <f t="shared" si="1"/>
        <v>1.1825773905088621</v>
      </c>
      <c r="BG20" s="310">
        <f t="shared" si="1"/>
        <v>1.1825773905088621</v>
      </c>
      <c r="BH20" s="310"/>
      <c r="BI20" s="310"/>
      <c r="BJ20" s="310"/>
      <c r="BK20" s="310"/>
      <c r="BL20" s="310"/>
      <c r="BM20" s="310"/>
      <c r="BN20" s="310"/>
      <c r="BO20" s="310"/>
      <c r="BQ20" s="303"/>
    </row>
    <row r="21" spans="1:69" ht="25.5" x14ac:dyDescent="0.25">
      <c r="A21" s="123">
        <v>8</v>
      </c>
      <c r="B21" s="124" t="s">
        <v>614</v>
      </c>
      <c r="C21" s="100">
        <f t="shared" si="3"/>
        <v>11313</v>
      </c>
      <c r="D21" s="101">
        <f t="shared" si="24"/>
        <v>6252</v>
      </c>
      <c r="E21" s="101">
        <f t="shared" si="25"/>
        <v>5061</v>
      </c>
      <c r="F21" s="101">
        <f t="shared" si="4"/>
        <v>0</v>
      </c>
      <c r="G21" s="101">
        <f t="shared" si="5"/>
        <v>0</v>
      </c>
      <c r="H21" s="101"/>
      <c r="I21" s="101"/>
      <c r="J21" s="101">
        <f t="shared" si="6"/>
        <v>0</v>
      </c>
      <c r="K21" s="101"/>
      <c r="L21" s="101"/>
      <c r="M21" s="101">
        <f t="shared" si="7"/>
        <v>500</v>
      </c>
      <c r="N21" s="101">
        <f t="shared" si="8"/>
        <v>0</v>
      </c>
      <c r="O21" s="101">
        <v>0</v>
      </c>
      <c r="P21" s="101"/>
      <c r="Q21" s="101">
        <f t="shared" si="9"/>
        <v>500</v>
      </c>
      <c r="R21" s="101">
        <v>500</v>
      </c>
      <c r="S21" s="101"/>
      <c r="T21" s="101">
        <f t="shared" si="10"/>
        <v>10813</v>
      </c>
      <c r="U21" s="101">
        <f t="shared" si="11"/>
        <v>6252</v>
      </c>
      <c r="V21" s="101">
        <v>6252</v>
      </c>
      <c r="W21" s="101"/>
      <c r="X21" s="101">
        <f t="shared" si="12"/>
        <v>4561</v>
      </c>
      <c r="Y21" s="101">
        <v>4561</v>
      </c>
      <c r="Z21" s="101"/>
      <c r="AA21" s="308">
        <f t="shared" si="13"/>
        <v>4398.35628</v>
      </c>
      <c r="AB21" s="149">
        <f t="shared" si="26"/>
        <v>406.32499999999999</v>
      </c>
      <c r="AC21" s="149">
        <f t="shared" si="27"/>
        <v>3992.0312800000002</v>
      </c>
      <c r="AD21" s="149">
        <f t="shared" si="14"/>
        <v>0</v>
      </c>
      <c r="AE21" s="101">
        <f t="shared" si="15"/>
        <v>0</v>
      </c>
      <c r="AF21" s="101"/>
      <c r="AG21" s="101"/>
      <c r="AH21" s="101">
        <f t="shared" si="16"/>
        <v>0</v>
      </c>
      <c r="AI21" s="101"/>
      <c r="AJ21" s="101"/>
      <c r="AK21" s="101">
        <f t="shared" si="17"/>
        <v>324.11199999999997</v>
      </c>
      <c r="AL21" s="101">
        <f t="shared" si="18"/>
        <v>0</v>
      </c>
      <c r="AM21" s="309"/>
      <c r="AN21" s="101"/>
      <c r="AO21" s="101">
        <f t="shared" si="19"/>
        <v>324.11199999999997</v>
      </c>
      <c r="AP21" s="101">
        <v>324.11199999999997</v>
      </c>
      <c r="AQ21" s="101"/>
      <c r="AR21" s="101">
        <f t="shared" si="20"/>
        <v>4074.2442799999999</v>
      </c>
      <c r="AS21" s="101">
        <f t="shared" si="21"/>
        <v>406.32499999999999</v>
      </c>
      <c r="AT21" s="309">
        <v>406.32499999999999</v>
      </c>
      <c r="AU21" s="101"/>
      <c r="AV21" s="101">
        <f t="shared" si="22"/>
        <v>3667.9192800000001</v>
      </c>
      <c r="AW21" s="101">
        <v>3667.9192800000001</v>
      </c>
      <c r="AX21" s="101"/>
      <c r="AY21" s="310">
        <f t="shared" si="23"/>
        <v>0.38878779103686023</v>
      </c>
      <c r="AZ21" s="310">
        <f t="shared" si="1"/>
        <v>6.4991202815099167E-2</v>
      </c>
      <c r="BA21" s="310">
        <f t="shared" si="1"/>
        <v>0.7887831021537246</v>
      </c>
      <c r="BB21" s="310"/>
      <c r="BC21" s="310"/>
      <c r="BD21" s="310"/>
      <c r="BE21" s="310"/>
      <c r="BF21" s="310"/>
      <c r="BG21" s="310"/>
      <c r="BH21" s="310"/>
      <c r="BI21" s="310">
        <f t="shared" si="1"/>
        <v>0.64822399999999991</v>
      </c>
      <c r="BJ21" s="310"/>
      <c r="BK21" s="310"/>
      <c r="BL21" s="310"/>
      <c r="BM21" s="310">
        <f t="shared" si="1"/>
        <v>0.64822399999999991</v>
      </c>
      <c r="BN21" s="310">
        <f t="shared" si="1"/>
        <v>0.64822399999999991</v>
      </c>
      <c r="BO21" s="310"/>
      <c r="BQ21" s="303"/>
    </row>
    <row r="22" spans="1:69" ht="25.5" x14ac:dyDescent="0.25">
      <c r="A22" s="123">
        <v>9</v>
      </c>
      <c r="B22" s="124" t="s">
        <v>157</v>
      </c>
      <c r="C22" s="100">
        <f t="shared" si="3"/>
        <v>1464</v>
      </c>
      <c r="D22" s="101">
        <f t="shared" si="24"/>
        <v>0</v>
      </c>
      <c r="E22" s="101">
        <f t="shared" si="25"/>
        <v>1464</v>
      </c>
      <c r="F22" s="101">
        <f t="shared" si="4"/>
        <v>0</v>
      </c>
      <c r="G22" s="101"/>
      <c r="H22" s="101"/>
      <c r="I22" s="101"/>
      <c r="J22" s="101">
        <f t="shared" si="6"/>
        <v>0</v>
      </c>
      <c r="K22" s="101"/>
      <c r="L22" s="101"/>
      <c r="M22" s="101">
        <f t="shared" si="7"/>
        <v>1464</v>
      </c>
      <c r="N22" s="101">
        <f t="shared" si="8"/>
        <v>0</v>
      </c>
      <c r="O22" s="101">
        <v>0</v>
      </c>
      <c r="P22" s="101"/>
      <c r="Q22" s="101">
        <f t="shared" si="9"/>
        <v>1464</v>
      </c>
      <c r="R22" s="101">
        <f>2200-736</f>
        <v>1464</v>
      </c>
      <c r="S22" s="101"/>
      <c r="T22" s="101">
        <f t="shared" si="10"/>
        <v>0</v>
      </c>
      <c r="U22" s="101">
        <f t="shared" si="11"/>
        <v>0</v>
      </c>
      <c r="V22" s="101"/>
      <c r="W22" s="101"/>
      <c r="X22" s="101">
        <f t="shared" si="12"/>
        <v>0</v>
      </c>
      <c r="Y22" s="101"/>
      <c r="Z22" s="101"/>
      <c r="AA22" s="308">
        <f t="shared" si="13"/>
        <v>1517.46</v>
      </c>
      <c r="AB22" s="149">
        <f t="shared" si="26"/>
        <v>0</v>
      </c>
      <c r="AC22" s="149">
        <f t="shared" si="27"/>
        <v>1517.46</v>
      </c>
      <c r="AD22" s="149">
        <f t="shared" si="14"/>
        <v>0</v>
      </c>
      <c r="AE22" s="101">
        <f t="shared" si="15"/>
        <v>0</v>
      </c>
      <c r="AF22" s="101"/>
      <c r="AG22" s="101"/>
      <c r="AH22" s="101">
        <f t="shared" si="16"/>
        <v>0</v>
      </c>
      <c r="AI22" s="101"/>
      <c r="AJ22" s="101"/>
      <c r="AK22" s="101">
        <f t="shared" si="17"/>
        <v>1517.46</v>
      </c>
      <c r="AL22" s="101">
        <f t="shared" si="18"/>
        <v>0</v>
      </c>
      <c r="AM22" s="309"/>
      <c r="AN22" s="101"/>
      <c r="AO22" s="101">
        <f t="shared" si="19"/>
        <v>1517.46</v>
      </c>
      <c r="AP22" s="101">
        <v>1517.46</v>
      </c>
      <c r="AQ22" s="101"/>
      <c r="AR22" s="101">
        <f t="shared" si="20"/>
        <v>0</v>
      </c>
      <c r="AS22" s="101">
        <f t="shared" si="21"/>
        <v>0</v>
      </c>
      <c r="AT22" s="309"/>
      <c r="AU22" s="101"/>
      <c r="AV22" s="101">
        <f t="shared" si="22"/>
        <v>0</v>
      </c>
      <c r="AW22" s="101"/>
      <c r="AX22" s="101"/>
      <c r="AY22" s="310">
        <f t="shared" si="23"/>
        <v>1.0365163934426229</v>
      </c>
      <c r="AZ22" s="310"/>
      <c r="BA22" s="310">
        <f t="shared" si="1"/>
        <v>1.0365163934426229</v>
      </c>
      <c r="BB22" s="310"/>
      <c r="BC22" s="310"/>
      <c r="BD22" s="310"/>
      <c r="BE22" s="310"/>
      <c r="BF22" s="310"/>
      <c r="BG22" s="310"/>
      <c r="BH22" s="310"/>
      <c r="BI22" s="310">
        <f t="shared" si="1"/>
        <v>1.0365163934426229</v>
      </c>
      <c r="BJ22" s="310"/>
      <c r="BK22" s="310"/>
      <c r="BL22" s="310"/>
      <c r="BM22" s="310">
        <f t="shared" si="1"/>
        <v>1.0365163934426229</v>
      </c>
      <c r="BN22" s="310">
        <f t="shared" si="1"/>
        <v>1.0365163934426229</v>
      </c>
      <c r="BO22" s="310"/>
      <c r="BQ22" s="303"/>
    </row>
    <row r="23" spans="1:69" x14ac:dyDescent="0.25">
      <c r="A23" s="123">
        <v>10</v>
      </c>
      <c r="B23" s="124" t="s">
        <v>615</v>
      </c>
      <c r="C23" s="100">
        <f t="shared" si="3"/>
        <v>10865</v>
      </c>
      <c r="D23" s="101">
        <f t="shared" si="24"/>
        <v>0</v>
      </c>
      <c r="E23" s="101">
        <f t="shared" si="25"/>
        <v>10865</v>
      </c>
      <c r="F23" s="101">
        <f t="shared" si="4"/>
        <v>0</v>
      </c>
      <c r="G23" s="101">
        <f t="shared" si="5"/>
        <v>0</v>
      </c>
      <c r="H23" s="101"/>
      <c r="I23" s="101"/>
      <c r="J23" s="101">
        <f t="shared" si="6"/>
        <v>0</v>
      </c>
      <c r="K23" s="101"/>
      <c r="L23" s="101"/>
      <c r="M23" s="101">
        <f t="shared" si="7"/>
        <v>500</v>
      </c>
      <c r="N23" s="101">
        <f t="shared" si="8"/>
        <v>0</v>
      </c>
      <c r="O23" s="101">
        <v>0</v>
      </c>
      <c r="P23" s="101"/>
      <c r="Q23" s="101">
        <f t="shared" si="9"/>
        <v>500</v>
      </c>
      <c r="R23" s="101">
        <v>500</v>
      </c>
      <c r="S23" s="101"/>
      <c r="T23" s="101">
        <f t="shared" si="10"/>
        <v>10365</v>
      </c>
      <c r="U23" s="101">
        <f t="shared" si="11"/>
        <v>0</v>
      </c>
      <c r="V23" s="101">
        <v>0</v>
      </c>
      <c r="W23" s="101"/>
      <c r="X23" s="101">
        <f t="shared" si="12"/>
        <v>10365</v>
      </c>
      <c r="Y23" s="101">
        <v>10365</v>
      </c>
      <c r="Z23" s="101"/>
      <c r="AA23" s="308">
        <f t="shared" si="13"/>
        <v>3677.88375</v>
      </c>
      <c r="AB23" s="149">
        <f t="shared" si="26"/>
        <v>0</v>
      </c>
      <c r="AC23" s="149">
        <f t="shared" si="27"/>
        <v>3677.88375</v>
      </c>
      <c r="AD23" s="149">
        <f t="shared" si="14"/>
        <v>0</v>
      </c>
      <c r="AE23" s="101">
        <f t="shared" si="15"/>
        <v>0</v>
      </c>
      <c r="AF23" s="101"/>
      <c r="AG23" s="101"/>
      <c r="AH23" s="101">
        <f t="shared" si="16"/>
        <v>0</v>
      </c>
      <c r="AI23" s="101"/>
      <c r="AJ23" s="101"/>
      <c r="AK23" s="101">
        <f t="shared" si="17"/>
        <v>910.61950000000002</v>
      </c>
      <c r="AL23" s="101">
        <f t="shared" si="18"/>
        <v>0</v>
      </c>
      <c r="AM23" s="309"/>
      <c r="AN23" s="101"/>
      <c r="AO23" s="101">
        <f t="shared" si="19"/>
        <v>910.61950000000002</v>
      </c>
      <c r="AP23" s="101">
        <v>910.61950000000002</v>
      </c>
      <c r="AQ23" s="101"/>
      <c r="AR23" s="101">
        <f t="shared" si="20"/>
        <v>2767.2642500000002</v>
      </c>
      <c r="AS23" s="101">
        <f t="shared" si="21"/>
        <v>0</v>
      </c>
      <c r="AT23" s="309"/>
      <c r="AU23" s="101"/>
      <c r="AV23" s="101">
        <f t="shared" si="22"/>
        <v>2767.2642500000002</v>
      </c>
      <c r="AW23" s="101">
        <v>2767.2642500000002</v>
      </c>
      <c r="AX23" s="101"/>
      <c r="AY23" s="310">
        <f t="shared" si="23"/>
        <v>0.33850747814081916</v>
      </c>
      <c r="AZ23" s="310"/>
      <c r="BA23" s="310">
        <f t="shared" si="1"/>
        <v>0.33850747814081916</v>
      </c>
      <c r="BB23" s="310"/>
      <c r="BC23" s="310"/>
      <c r="BD23" s="310"/>
      <c r="BE23" s="310"/>
      <c r="BF23" s="310"/>
      <c r="BG23" s="310"/>
      <c r="BH23" s="310"/>
      <c r="BI23" s="310">
        <f t="shared" si="1"/>
        <v>1.8212390000000001</v>
      </c>
      <c r="BJ23" s="310"/>
      <c r="BK23" s="310"/>
      <c r="BL23" s="310"/>
      <c r="BM23" s="310">
        <f t="shared" si="1"/>
        <v>1.8212390000000001</v>
      </c>
      <c r="BN23" s="310">
        <f t="shared" si="1"/>
        <v>1.8212390000000001</v>
      </c>
      <c r="BO23" s="310"/>
      <c r="BQ23" s="303"/>
    </row>
    <row r="24" spans="1:69" x14ac:dyDescent="0.25">
      <c r="A24" s="123">
        <v>11</v>
      </c>
      <c r="B24" s="124" t="s">
        <v>616</v>
      </c>
      <c r="C24" s="100">
        <f t="shared" si="3"/>
        <v>1325</v>
      </c>
      <c r="D24" s="101">
        <f t="shared" si="24"/>
        <v>779</v>
      </c>
      <c r="E24" s="101">
        <f t="shared" si="25"/>
        <v>546</v>
      </c>
      <c r="F24" s="101">
        <f t="shared" si="4"/>
        <v>0</v>
      </c>
      <c r="G24" s="101">
        <f t="shared" si="5"/>
        <v>0</v>
      </c>
      <c r="H24" s="101"/>
      <c r="I24" s="101"/>
      <c r="J24" s="101">
        <f t="shared" si="6"/>
        <v>0</v>
      </c>
      <c r="K24" s="101"/>
      <c r="L24" s="101"/>
      <c r="M24" s="101">
        <f t="shared" si="7"/>
        <v>0</v>
      </c>
      <c r="N24" s="101">
        <f t="shared" si="8"/>
        <v>0</v>
      </c>
      <c r="O24" s="101">
        <v>0</v>
      </c>
      <c r="P24" s="101"/>
      <c r="Q24" s="101">
        <f t="shared" si="9"/>
        <v>0</v>
      </c>
      <c r="R24" s="101"/>
      <c r="S24" s="101"/>
      <c r="T24" s="101">
        <f t="shared" si="10"/>
        <v>1325</v>
      </c>
      <c r="U24" s="101">
        <f t="shared" si="11"/>
        <v>779</v>
      </c>
      <c r="V24" s="101">
        <v>779</v>
      </c>
      <c r="W24" s="101"/>
      <c r="X24" s="101">
        <f t="shared" si="12"/>
        <v>546</v>
      </c>
      <c r="Y24" s="101">
        <v>546</v>
      </c>
      <c r="Z24" s="101"/>
      <c r="AA24" s="308">
        <f t="shared" si="13"/>
        <v>507.30234200000001</v>
      </c>
      <c r="AB24" s="149">
        <f t="shared" si="26"/>
        <v>0</v>
      </c>
      <c r="AC24" s="149">
        <f t="shared" si="27"/>
        <v>507.30234200000001</v>
      </c>
      <c r="AD24" s="149">
        <f t="shared" si="14"/>
        <v>0</v>
      </c>
      <c r="AE24" s="101">
        <f t="shared" si="15"/>
        <v>0</v>
      </c>
      <c r="AF24" s="101"/>
      <c r="AG24" s="101"/>
      <c r="AH24" s="101">
        <f t="shared" si="16"/>
        <v>0</v>
      </c>
      <c r="AI24" s="101"/>
      <c r="AJ24" s="101"/>
      <c r="AK24" s="101">
        <f t="shared" si="17"/>
        <v>0</v>
      </c>
      <c r="AL24" s="101">
        <f t="shared" si="18"/>
        <v>0</v>
      </c>
      <c r="AM24" s="309"/>
      <c r="AN24" s="101"/>
      <c r="AO24" s="101">
        <f t="shared" si="19"/>
        <v>0</v>
      </c>
      <c r="AP24" s="101"/>
      <c r="AQ24" s="101"/>
      <c r="AR24" s="101">
        <f t="shared" si="20"/>
        <v>507.30234200000001</v>
      </c>
      <c r="AS24" s="101">
        <f t="shared" si="21"/>
        <v>0</v>
      </c>
      <c r="AT24" s="309"/>
      <c r="AU24" s="101"/>
      <c r="AV24" s="101">
        <f t="shared" si="22"/>
        <v>507.30234200000001</v>
      </c>
      <c r="AW24" s="101">
        <v>507.30234200000001</v>
      </c>
      <c r="AX24" s="101"/>
      <c r="AY24" s="310">
        <f t="shared" si="23"/>
        <v>0.38286969207547172</v>
      </c>
      <c r="AZ24" s="310"/>
      <c r="BA24" s="310">
        <f t="shared" si="1"/>
        <v>0.92912516849816851</v>
      </c>
      <c r="BB24" s="310"/>
      <c r="BC24" s="310"/>
      <c r="BD24" s="310"/>
      <c r="BE24" s="310"/>
      <c r="BF24" s="310"/>
      <c r="BG24" s="310"/>
      <c r="BH24" s="310"/>
      <c r="BI24" s="310"/>
      <c r="BJ24" s="310"/>
      <c r="BK24" s="310"/>
      <c r="BL24" s="310"/>
      <c r="BM24" s="310"/>
      <c r="BN24" s="310"/>
      <c r="BO24" s="310"/>
      <c r="BQ24" s="303"/>
    </row>
    <row r="25" spans="1:69" x14ac:dyDescent="0.25">
      <c r="A25" s="123">
        <v>12</v>
      </c>
      <c r="B25" s="124" t="s">
        <v>617</v>
      </c>
      <c r="C25" s="100">
        <f t="shared" si="3"/>
        <v>500</v>
      </c>
      <c r="D25" s="101">
        <f t="shared" si="24"/>
        <v>0</v>
      </c>
      <c r="E25" s="101">
        <f t="shared" si="25"/>
        <v>500</v>
      </c>
      <c r="F25" s="101">
        <f t="shared" si="4"/>
        <v>0</v>
      </c>
      <c r="G25" s="101">
        <f t="shared" si="5"/>
        <v>0</v>
      </c>
      <c r="H25" s="101"/>
      <c r="I25" s="101"/>
      <c r="J25" s="101">
        <f t="shared" si="6"/>
        <v>0</v>
      </c>
      <c r="K25" s="101"/>
      <c r="L25" s="101"/>
      <c r="M25" s="101">
        <f t="shared" si="7"/>
        <v>200</v>
      </c>
      <c r="N25" s="101">
        <f t="shared" si="8"/>
        <v>0</v>
      </c>
      <c r="O25" s="101">
        <v>0</v>
      </c>
      <c r="P25" s="101"/>
      <c r="Q25" s="101">
        <f t="shared" si="9"/>
        <v>200</v>
      </c>
      <c r="R25" s="101">
        <v>200</v>
      </c>
      <c r="S25" s="101"/>
      <c r="T25" s="101">
        <f t="shared" si="10"/>
        <v>300</v>
      </c>
      <c r="U25" s="101">
        <f t="shared" si="11"/>
        <v>0</v>
      </c>
      <c r="V25" s="101">
        <v>0</v>
      </c>
      <c r="W25" s="101"/>
      <c r="X25" s="101">
        <f t="shared" si="12"/>
        <v>300</v>
      </c>
      <c r="Y25" s="101">
        <v>300</v>
      </c>
      <c r="Z25" s="101"/>
      <c r="AA25" s="308">
        <f t="shared" si="13"/>
        <v>514</v>
      </c>
      <c r="AB25" s="149">
        <f t="shared" si="26"/>
        <v>0</v>
      </c>
      <c r="AC25" s="149">
        <f t="shared" si="27"/>
        <v>514</v>
      </c>
      <c r="AD25" s="149">
        <f t="shared" si="14"/>
        <v>0</v>
      </c>
      <c r="AE25" s="101">
        <f t="shared" si="15"/>
        <v>0</v>
      </c>
      <c r="AF25" s="101"/>
      <c r="AG25" s="101"/>
      <c r="AH25" s="101">
        <f t="shared" si="16"/>
        <v>0</v>
      </c>
      <c r="AI25" s="101"/>
      <c r="AJ25" s="101"/>
      <c r="AK25" s="101">
        <f t="shared" si="17"/>
        <v>200</v>
      </c>
      <c r="AL25" s="101">
        <f t="shared" si="18"/>
        <v>0</v>
      </c>
      <c r="AM25" s="309"/>
      <c r="AN25" s="101"/>
      <c r="AO25" s="101">
        <f t="shared" si="19"/>
        <v>200</v>
      </c>
      <c r="AP25" s="101">
        <v>200</v>
      </c>
      <c r="AQ25" s="101"/>
      <c r="AR25" s="101">
        <f t="shared" si="20"/>
        <v>314</v>
      </c>
      <c r="AS25" s="101">
        <f t="shared" si="21"/>
        <v>0</v>
      </c>
      <c r="AT25" s="309"/>
      <c r="AU25" s="101"/>
      <c r="AV25" s="101">
        <f t="shared" si="22"/>
        <v>314</v>
      </c>
      <c r="AW25" s="101">
        <v>314</v>
      </c>
      <c r="AX25" s="101"/>
      <c r="AY25" s="310">
        <f t="shared" si="23"/>
        <v>1.028</v>
      </c>
      <c r="AZ25" s="310"/>
      <c r="BA25" s="310">
        <f t="shared" si="1"/>
        <v>1.028</v>
      </c>
      <c r="BB25" s="310"/>
      <c r="BC25" s="310"/>
      <c r="BD25" s="310"/>
      <c r="BE25" s="310"/>
      <c r="BF25" s="310"/>
      <c r="BG25" s="310"/>
      <c r="BH25" s="310"/>
      <c r="BI25" s="310">
        <f t="shared" si="1"/>
        <v>1</v>
      </c>
      <c r="BJ25" s="310"/>
      <c r="BK25" s="310"/>
      <c r="BL25" s="310"/>
      <c r="BM25" s="310">
        <f t="shared" si="1"/>
        <v>1</v>
      </c>
      <c r="BN25" s="310">
        <f t="shared" si="1"/>
        <v>1</v>
      </c>
      <c r="BO25" s="310"/>
      <c r="BQ25" s="303"/>
    </row>
    <row r="26" spans="1:69" x14ac:dyDescent="0.25">
      <c r="A26" s="123">
        <v>13</v>
      </c>
      <c r="B26" s="124" t="s">
        <v>618</v>
      </c>
      <c r="C26" s="100">
        <f t="shared" si="3"/>
        <v>700</v>
      </c>
      <c r="D26" s="101">
        <f t="shared" si="24"/>
        <v>0</v>
      </c>
      <c r="E26" s="101">
        <f t="shared" si="25"/>
        <v>700</v>
      </c>
      <c r="F26" s="101">
        <f t="shared" si="4"/>
        <v>0</v>
      </c>
      <c r="G26" s="101">
        <f t="shared" si="5"/>
        <v>0</v>
      </c>
      <c r="H26" s="101"/>
      <c r="I26" s="101"/>
      <c r="J26" s="101">
        <f t="shared" si="6"/>
        <v>0</v>
      </c>
      <c r="K26" s="101"/>
      <c r="L26" s="101"/>
      <c r="M26" s="101">
        <f t="shared" si="7"/>
        <v>400</v>
      </c>
      <c r="N26" s="101">
        <f t="shared" si="8"/>
        <v>0</v>
      </c>
      <c r="O26" s="101">
        <v>0</v>
      </c>
      <c r="P26" s="101"/>
      <c r="Q26" s="101">
        <f t="shared" si="9"/>
        <v>400</v>
      </c>
      <c r="R26" s="101">
        <v>400</v>
      </c>
      <c r="S26" s="101"/>
      <c r="T26" s="101">
        <f t="shared" si="10"/>
        <v>300</v>
      </c>
      <c r="U26" s="101">
        <f t="shared" si="11"/>
        <v>0</v>
      </c>
      <c r="V26" s="101">
        <v>0</v>
      </c>
      <c r="W26" s="101"/>
      <c r="X26" s="101">
        <f t="shared" si="12"/>
        <v>300</v>
      </c>
      <c r="Y26" s="101">
        <v>300</v>
      </c>
      <c r="Z26" s="101"/>
      <c r="AA26" s="308">
        <f t="shared" si="13"/>
        <v>1305.797761</v>
      </c>
      <c r="AB26" s="149">
        <f t="shared" si="26"/>
        <v>0</v>
      </c>
      <c r="AC26" s="149">
        <f t="shared" si="27"/>
        <v>1305.797761</v>
      </c>
      <c r="AD26" s="149">
        <f t="shared" si="14"/>
        <v>0</v>
      </c>
      <c r="AE26" s="101">
        <f t="shared" si="15"/>
        <v>0</v>
      </c>
      <c r="AF26" s="101"/>
      <c r="AG26" s="101"/>
      <c r="AH26" s="101">
        <f t="shared" si="16"/>
        <v>0</v>
      </c>
      <c r="AI26" s="101"/>
      <c r="AJ26" s="101"/>
      <c r="AK26" s="101">
        <f t="shared" si="17"/>
        <v>892.79776100000004</v>
      </c>
      <c r="AL26" s="101">
        <f t="shared" si="18"/>
        <v>0</v>
      </c>
      <c r="AM26" s="309"/>
      <c r="AN26" s="101"/>
      <c r="AO26" s="101">
        <f t="shared" si="19"/>
        <v>892.79776100000004</v>
      </c>
      <c r="AP26" s="101">
        <v>892.79776100000004</v>
      </c>
      <c r="AQ26" s="101"/>
      <c r="AR26" s="101">
        <f t="shared" si="20"/>
        <v>413</v>
      </c>
      <c r="AS26" s="101">
        <f t="shared" si="21"/>
        <v>0</v>
      </c>
      <c r="AT26" s="309"/>
      <c r="AU26" s="101"/>
      <c r="AV26" s="101">
        <f t="shared" si="22"/>
        <v>413</v>
      </c>
      <c r="AW26" s="101">
        <v>413</v>
      </c>
      <c r="AX26" s="101"/>
      <c r="AY26" s="310">
        <f t="shared" si="23"/>
        <v>1.8654253728571428</v>
      </c>
      <c r="AZ26" s="310"/>
      <c r="BA26" s="310">
        <f t="shared" si="1"/>
        <v>1.8654253728571428</v>
      </c>
      <c r="BB26" s="310"/>
      <c r="BC26" s="310"/>
      <c r="BD26" s="310"/>
      <c r="BE26" s="310"/>
      <c r="BF26" s="310"/>
      <c r="BG26" s="310"/>
      <c r="BH26" s="310"/>
      <c r="BI26" s="310">
        <f t="shared" si="1"/>
        <v>2.2319944025000003</v>
      </c>
      <c r="BJ26" s="310"/>
      <c r="BK26" s="310"/>
      <c r="BL26" s="310"/>
      <c r="BM26" s="310">
        <f t="shared" si="1"/>
        <v>2.2319944025000003</v>
      </c>
      <c r="BN26" s="310">
        <f t="shared" si="1"/>
        <v>2.2319944025000003</v>
      </c>
      <c r="BO26" s="310"/>
      <c r="BQ26" s="303"/>
    </row>
    <row r="27" spans="1:69" ht="25.5" x14ac:dyDescent="0.25">
      <c r="A27" s="123">
        <v>14</v>
      </c>
      <c r="B27" s="124" t="s">
        <v>705</v>
      </c>
      <c r="C27" s="100">
        <f t="shared" si="3"/>
        <v>185</v>
      </c>
      <c r="D27" s="101">
        <f t="shared" si="24"/>
        <v>0</v>
      </c>
      <c r="E27" s="101">
        <f t="shared" si="25"/>
        <v>185</v>
      </c>
      <c r="F27" s="101">
        <f t="shared" si="4"/>
        <v>0</v>
      </c>
      <c r="G27" s="101">
        <f t="shared" si="5"/>
        <v>0</v>
      </c>
      <c r="H27" s="101"/>
      <c r="I27" s="101"/>
      <c r="J27" s="101">
        <f t="shared" si="6"/>
        <v>0</v>
      </c>
      <c r="K27" s="101"/>
      <c r="L27" s="101"/>
      <c r="M27" s="101">
        <f t="shared" si="7"/>
        <v>100</v>
      </c>
      <c r="N27" s="101">
        <f t="shared" si="8"/>
        <v>0</v>
      </c>
      <c r="O27" s="101"/>
      <c r="P27" s="101"/>
      <c r="Q27" s="101">
        <f t="shared" si="9"/>
        <v>100</v>
      </c>
      <c r="R27" s="101">
        <v>100</v>
      </c>
      <c r="S27" s="101"/>
      <c r="T27" s="101">
        <f t="shared" si="10"/>
        <v>85</v>
      </c>
      <c r="U27" s="101">
        <f t="shared" si="11"/>
        <v>0</v>
      </c>
      <c r="V27" s="101">
        <v>0</v>
      </c>
      <c r="W27" s="101"/>
      <c r="X27" s="101">
        <f t="shared" si="12"/>
        <v>85</v>
      </c>
      <c r="Y27" s="101">
        <v>85</v>
      </c>
      <c r="Z27" s="101"/>
      <c r="AA27" s="308">
        <f t="shared" si="13"/>
        <v>314.33825000000002</v>
      </c>
      <c r="AB27" s="149">
        <f t="shared" si="26"/>
        <v>0</v>
      </c>
      <c r="AC27" s="149">
        <f t="shared" si="27"/>
        <v>314.33825000000002</v>
      </c>
      <c r="AD27" s="149">
        <f t="shared" si="14"/>
        <v>0</v>
      </c>
      <c r="AE27" s="101">
        <f t="shared" si="15"/>
        <v>0</v>
      </c>
      <c r="AF27" s="101"/>
      <c r="AG27" s="101"/>
      <c r="AH27" s="101">
        <f t="shared" si="16"/>
        <v>0</v>
      </c>
      <c r="AI27" s="101"/>
      <c r="AJ27" s="101"/>
      <c r="AK27" s="101">
        <f t="shared" si="17"/>
        <v>200</v>
      </c>
      <c r="AL27" s="101">
        <f t="shared" si="18"/>
        <v>0</v>
      </c>
      <c r="AM27" s="309"/>
      <c r="AN27" s="101"/>
      <c r="AO27" s="101">
        <f t="shared" si="19"/>
        <v>200</v>
      </c>
      <c r="AP27" s="101">
        <v>200</v>
      </c>
      <c r="AQ27" s="101"/>
      <c r="AR27" s="101">
        <f t="shared" si="20"/>
        <v>114.33825</v>
      </c>
      <c r="AS27" s="101">
        <f t="shared" si="21"/>
        <v>0</v>
      </c>
      <c r="AT27" s="309"/>
      <c r="AU27" s="101"/>
      <c r="AV27" s="101">
        <f t="shared" si="22"/>
        <v>114.33825</v>
      </c>
      <c r="AW27" s="101">
        <v>114.33825</v>
      </c>
      <c r="AX27" s="101"/>
      <c r="AY27" s="310">
        <f t="shared" si="23"/>
        <v>1.6991256756756759</v>
      </c>
      <c r="AZ27" s="310"/>
      <c r="BA27" s="310">
        <f t="shared" si="1"/>
        <v>1.6991256756756759</v>
      </c>
      <c r="BB27" s="310"/>
      <c r="BC27" s="310"/>
      <c r="BD27" s="310"/>
      <c r="BE27" s="310"/>
      <c r="BF27" s="310"/>
      <c r="BG27" s="310"/>
      <c r="BH27" s="310"/>
      <c r="BI27" s="310">
        <f t="shared" si="1"/>
        <v>2</v>
      </c>
      <c r="BJ27" s="310"/>
      <c r="BK27" s="310"/>
      <c r="BL27" s="310"/>
      <c r="BM27" s="310">
        <f t="shared" si="1"/>
        <v>2</v>
      </c>
      <c r="BN27" s="310">
        <f t="shared" si="1"/>
        <v>2</v>
      </c>
      <c r="BO27" s="310"/>
      <c r="BQ27" s="303"/>
    </row>
    <row r="28" spans="1:69" x14ac:dyDescent="0.25">
      <c r="A28" s="123">
        <v>15</v>
      </c>
      <c r="B28" s="124" t="s">
        <v>706</v>
      </c>
      <c r="C28" s="100">
        <f t="shared" si="3"/>
        <v>29</v>
      </c>
      <c r="D28" s="101">
        <f t="shared" si="24"/>
        <v>0</v>
      </c>
      <c r="E28" s="101">
        <f t="shared" si="25"/>
        <v>29</v>
      </c>
      <c r="F28" s="101">
        <f t="shared" si="4"/>
        <v>0</v>
      </c>
      <c r="G28" s="101">
        <f t="shared" si="5"/>
        <v>0</v>
      </c>
      <c r="H28" s="101"/>
      <c r="I28" s="101"/>
      <c r="J28" s="101">
        <f t="shared" si="6"/>
        <v>0</v>
      </c>
      <c r="K28" s="101"/>
      <c r="L28" s="101"/>
      <c r="M28" s="101">
        <f t="shared" si="7"/>
        <v>0</v>
      </c>
      <c r="N28" s="101">
        <f t="shared" si="8"/>
        <v>0</v>
      </c>
      <c r="O28" s="101"/>
      <c r="P28" s="101"/>
      <c r="Q28" s="101">
        <f t="shared" si="9"/>
        <v>0</v>
      </c>
      <c r="R28" s="101"/>
      <c r="S28" s="101"/>
      <c r="T28" s="101">
        <f t="shared" si="10"/>
        <v>29</v>
      </c>
      <c r="U28" s="101">
        <f t="shared" si="11"/>
        <v>0</v>
      </c>
      <c r="V28" s="101">
        <v>0</v>
      </c>
      <c r="W28" s="101"/>
      <c r="X28" s="101">
        <f t="shared" si="12"/>
        <v>29</v>
      </c>
      <c r="Y28" s="101">
        <v>29</v>
      </c>
      <c r="Z28" s="101"/>
      <c r="AA28" s="308">
        <f t="shared" si="13"/>
        <v>31.902000000000001</v>
      </c>
      <c r="AB28" s="149">
        <f t="shared" si="26"/>
        <v>0</v>
      </c>
      <c r="AC28" s="149">
        <f t="shared" si="27"/>
        <v>31.902000000000001</v>
      </c>
      <c r="AD28" s="149">
        <f t="shared" si="14"/>
        <v>0</v>
      </c>
      <c r="AE28" s="101">
        <f t="shared" si="15"/>
        <v>0</v>
      </c>
      <c r="AF28" s="101"/>
      <c r="AG28" s="101"/>
      <c r="AH28" s="101">
        <f t="shared" si="16"/>
        <v>0</v>
      </c>
      <c r="AI28" s="101"/>
      <c r="AJ28" s="101"/>
      <c r="AK28" s="101">
        <f t="shared" si="17"/>
        <v>0</v>
      </c>
      <c r="AL28" s="101">
        <f t="shared" si="18"/>
        <v>0</v>
      </c>
      <c r="AM28" s="309"/>
      <c r="AN28" s="101"/>
      <c r="AO28" s="101">
        <f t="shared" si="19"/>
        <v>0</v>
      </c>
      <c r="AP28" s="101"/>
      <c r="AQ28" s="101"/>
      <c r="AR28" s="101">
        <f t="shared" si="20"/>
        <v>31.902000000000001</v>
      </c>
      <c r="AS28" s="101">
        <f t="shared" si="21"/>
        <v>0</v>
      </c>
      <c r="AT28" s="309"/>
      <c r="AU28" s="101"/>
      <c r="AV28" s="101">
        <f t="shared" si="22"/>
        <v>31.902000000000001</v>
      </c>
      <c r="AW28" s="101">
        <v>31.902000000000001</v>
      </c>
      <c r="AX28" s="101"/>
      <c r="AY28" s="310">
        <f t="shared" si="23"/>
        <v>1.1000689655172413</v>
      </c>
      <c r="AZ28" s="310"/>
      <c r="BA28" s="310">
        <f t="shared" si="23"/>
        <v>1.1000689655172413</v>
      </c>
      <c r="BB28" s="310"/>
      <c r="BC28" s="310"/>
      <c r="BD28" s="310"/>
      <c r="BE28" s="310"/>
      <c r="BF28" s="310"/>
      <c r="BG28" s="310"/>
      <c r="BH28" s="310"/>
      <c r="BI28" s="310"/>
      <c r="BJ28" s="310"/>
      <c r="BK28" s="310"/>
      <c r="BL28" s="310"/>
      <c r="BM28" s="310"/>
      <c r="BN28" s="310"/>
      <c r="BO28" s="310"/>
      <c r="BQ28" s="303"/>
    </row>
    <row r="29" spans="1:69" x14ac:dyDescent="0.25">
      <c r="A29" s="123">
        <v>16</v>
      </c>
      <c r="B29" s="124" t="s">
        <v>619</v>
      </c>
      <c r="C29" s="100">
        <f t="shared" si="3"/>
        <v>2367</v>
      </c>
      <c r="D29" s="101">
        <f t="shared" si="24"/>
        <v>0</v>
      </c>
      <c r="E29" s="101">
        <f t="shared" si="25"/>
        <v>2367</v>
      </c>
      <c r="F29" s="101">
        <f t="shared" si="4"/>
        <v>1347</v>
      </c>
      <c r="G29" s="101">
        <f t="shared" si="5"/>
        <v>0</v>
      </c>
      <c r="H29" s="101"/>
      <c r="I29" s="101"/>
      <c r="J29" s="101">
        <f t="shared" si="6"/>
        <v>1347</v>
      </c>
      <c r="K29" s="101">
        <v>1347</v>
      </c>
      <c r="L29" s="101"/>
      <c r="M29" s="101">
        <f t="shared" si="7"/>
        <v>650</v>
      </c>
      <c r="N29" s="101">
        <f t="shared" si="8"/>
        <v>0</v>
      </c>
      <c r="O29" s="101">
        <v>0</v>
      </c>
      <c r="P29" s="101"/>
      <c r="Q29" s="101">
        <f t="shared" si="9"/>
        <v>650</v>
      </c>
      <c r="R29" s="101">
        <v>650</v>
      </c>
      <c r="S29" s="101"/>
      <c r="T29" s="101">
        <f t="shared" si="10"/>
        <v>370</v>
      </c>
      <c r="U29" s="101">
        <f t="shared" si="11"/>
        <v>0</v>
      </c>
      <c r="V29" s="101">
        <f>1169-1169</f>
        <v>0</v>
      </c>
      <c r="W29" s="101"/>
      <c r="X29" s="101">
        <f t="shared" si="12"/>
        <v>370</v>
      </c>
      <c r="Y29" s="101">
        <v>370</v>
      </c>
      <c r="Z29" s="101"/>
      <c r="AA29" s="308">
        <f t="shared" si="13"/>
        <v>5725.9757449999997</v>
      </c>
      <c r="AB29" s="149">
        <f t="shared" si="26"/>
        <v>0</v>
      </c>
      <c r="AC29" s="149">
        <f t="shared" si="27"/>
        <v>5725.9757449999997</v>
      </c>
      <c r="AD29" s="149">
        <f t="shared" si="14"/>
        <v>1512.6507449999999</v>
      </c>
      <c r="AE29" s="101">
        <f t="shared" si="15"/>
        <v>0</v>
      </c>
      <c r="AF29" s="101"/>
      <c r="AG29" s="101"/>
      <c r="AH29" s="101">
        <f t="shared" si="16"/>
        <v>1512.6507449999999</v>
      </c>
      <c r="AI29" s="101">
        <v>1512.6507449999999</v>
      </c>
      <c r="AJ29" s="101"/>
      <c r="AK29" s="101">
        <f t="shared" si="17"/>
        <v>3983.0990000000002</v>
      </c>
      <c r="AL29" s="101">
        <f t="shared" si="18"/>
        <v>0</v>
      </c>
      <c r="AM29" s="309"/>
      <c r="AN29" s="101"/>
      <c r="AO29" s="101">
        <f t="shared" si="19"/>
        <v>3983.0990000000002</v>
      </c>
      <c r="AP29" s="101">
        <v>3983.0990000000002</v>
      </c>
      <c r="AQ29" s="101"/>
      <c r="AR29" s="101">
        <f t="shared" si="20"/>
        <v>230.226</v>
      </c>
      <c r="AS29" s="101">
        <f t="shared" si="21"/>
        <v>0</v>
      </c>
      <c r="AT29" s="309"/>
      <c r="AU29" s="101"/>
      <c r="AV29" s="101">
        <f t="shared" si="22"/>
        <v>230.226</v>
      </c>
      <c r="AW29" s="101">
        <v>230.226</v>
      </c>
      <c r="AX29" s="101"/>
      <c r="AY29" s="310">
        <f t="shared" si="23"/>
        <v>2.4190856548373469</v>
      </c>
      <c r="AZ29" s="310"/>
      <c r="BA29" s="310">
        <f t="shared" si="23"/>
        <v>2.4190856548373469</v>
      </c>
      <c r="BB29" s="310">
        <f t="shared" si="23"/>
        <v>1.122977538975501</v>
      </c>
      <c r="BC29" s="310"/>
      <c r="BD29" s="310"/>
      <c r="BE29" s="310"/>
      <c r="BF29" s="310">
        <f t="shared" si="23"/>
        <v>1.122977538975501</v>
      </c>
      <c r="BG29" s="310">
        <f t="shared" si="23"/>
        <v>1.122977538975501</v>
      </c>
      <c r="BH29" s="310"/>
      <c r="BI29" s="310">
        <f t="shared" si="23"/>
        <v>6.1278446153846158</v>
      </c>
      <c r="BJ29" s="310"/>
      <c r="BK29" s="310"/>
      <c r="BL29" s="310"/>
      <c r="BM29" s="310">
        <f t="shared" si="23"/>
        <v>6.1278446153846158</v>
      </c>
      <c r="BN29" s="310">
        <f t="shared" si="23"/>
        <v>6.1278446153846158</v>
      </c>
      <c r="BO29" s="310"/>
      <c r="BQ29" s="303"/>
    </row>
    <row r="30" spans="1:69" x14ac:dyDescent="0.25">
      <c r="A30" s="123">
        <v>17</v>
      </c>
      <c r="B30" s="124" t="s">
        <v>620</v>
      </c>
      <c r="C30" s="100">
        <f t="shared" si="3"/>
        <v>29</v>
      </c>
      <c r="D30" s="101">
        <f t="shared" si="24"/>
        <v>0</v>
      </c>
      <c r="E30" s="101">
        <f t="shared" si="25"/>
        <v>29</v>
      </c>
      <c r="F30" s="101">
        <f t="shared" si="4"/>
        <v>0</v>
      </c>
      <c r="G30" s="101">
        <f t="shared" si="5"/>
        <v>0</v>
      </c>
      <c r="H30" s="101"/>
      <c r="I30" s="101"/>
      <c r="J30" s="101">
        <f t="shared" si="6"/>
        <v>0</v>
      </c>
      <c r="K30" s="101"/>
      <c r="L30" s="101"/>
      <c r="M30" s="101">
        <f t="shared" si="7"/>
        <v>0</v>
      </c>
      <c r="N30" s="101">
        <f t="shared" si="8"/>
        <v>0</v>
      </c>
      <c r="O30" s="101"/>
      <c r="P30" s="101"/>
      <c r="Q30" s="101">
        <f t="shared" si="9"/>
        <v>0</v>
      </c>
      <c r="R30" s="101"/>
      <c r="S30" s="101"/>
      <c r="T30" s="101">
        <f t="shared" si="10"/>
        <v>29</v>
      </c>
      <c r="U30" s="101">
        <f t="shared" si="11"/>
        <v>0</v>
      </c>
      <c r="V30" s="101">
        <v>0</v>
      </c>
      <c r="W30" s="101"/>
      <c r="X30" s="101">
        <f t="shared" si="12"/>
        <v>29</v>
      </c>
      <c r="Y30" s="101">
        <v>29</v>
      </c>
      <c r="Z30" s="101"/>
      <c r="AA30" s="308">
        <f t="shared" si="13"/>
        <v>29.4</v>
      </c>
      <c r="AB30" s="149">
        <f t="shared" si="26"/>
        <v>0</v>
      </c>
      <c r="AC30" s="149">
        <f t="shared" si="27"/>
        <v>29.4</v>
      </c>
      <c r="AD30" s="149">
        <f t="shared" si="14"/>
        <v>0</v>
      </c>
      <c r="AE30" s="101">
        <f t="shared" si="15"/>
        <v>0</v>
      </c>
      <c r="AF30" s="101"/>
      <c r="AG30" s="101"/>
      <c r="AH30" s="101">
        <f t="shared" si="16"/>
        <v>0</v>
      </c>
      <c r="AI30" s="101"/>
      <c r="AJ30" s="101"/>
      <c r="AK30" s="101">
        <f t="shared" si="17"/>
        <v>0</v>
      </c>
      <c r="AL30" s="101">
        <f t="shared" si="18"/>
        <v>0</v>
      </c>
      <c r="AM30" s="309"/>
      <c r="AN30" s="101"/>
      <c r="AO30" s="101">
        <f t="shared" si="19"/>
        <v>0</v>
      </c>
      <c r="AP30" s="101"/>
      <c r="AQ30" s="101"/>
      <c r="AR30" s="101">
        <f t="shared" si="20"/>
        <v>29.4</v>
      </c>
      <c r="AS30" s="101">
        <f t="shared" si="21"/>
        <v>0</v>
      </c>
      <c r="AT30" s="309"/>
      <c r="AU30" s="101"/>
      <c r="AV30" s="101">
        <f t="shared" si="22"/>
        <v>29.4</v>
      </c>
      <c r="AW30" s="101">
        <v>29.4</v>
      </c>
      <c r="AX30" s="101"/>
      <c r="AY30" s="310">
        <f t="shared" ref="AY30:BN43" si="28">AA30/C30</f>
        <v>1.0137931034482759</v>
      </c>
      <c r="AZ30" s="310"/>
      <c r="BA30" s="310">
        <f t="shared" si="28"/>
        <v>1.0137931034482759</v>
      </c>
      <c r="BB30" s="310"/>
      <c r="BC30" s="310"/>
      <c r="BD30" s="310"/>
      <c r="BE30" s="310"/>
      <c r="BF30" s="310"/>
      <c r="BG30" s="310"/>
      <c r="BH30" s="310"/>
      <c r="BI30" s="310"/>
      <c r="BJ30" s="310"/>
      <c r="BK30" s="310"/>
      <c r="BL30" s="310"/>
      <c r="BM30" s="310"/>
      <c r="BN30" s="310"/>
      <c r="BO30" s="310"/>
      <c r="BQ30" s="303"/>
    </row>
    <row r="31" spans="1:69" x14ac:dyDescent="0.25">
      <c r="A31" s="123">
        <v>18</v>
      </c>
      <c r="B31" s="124" t="s">
        <v>302</v>
      </c>
      <c r="C31" s="100">
        <f t="shared" si="3"/>
        <v>29</v>
      </c>
      <c r="D31" s="101">
        <f t="shared" si="24"/>
        <v>0</v>
      </c>
      <c r="E31" s="101">
        <f t="shared" si="25"/>
        <v>29</v>
      </c>
      <c r="F31" s="101">
        <f t="shared" si="4"/>
        <v>0</v>
      </c>
      <c r="G31" s="101">
        <f t="shared" si="5"/>
        <v>0</v>
      </c>
      <c r="H31" s="101"/>
      <c r="I31" s="101"/>
      <c r="J31" s="101">
        <f t="shared" si="6"/>
        <v>0</v>
      </c>
      <c r="K31" s="101"/>
      <c r="L31" s="101"/>
      <c r="M31" s="101">
        <f t="shared" si="7"/>
        <v>0</v>
      </c>
      <c r="N31" s="101">
        <f t="shared" si="8"/>
        <v>0</v>
      </c>
      <c r="O31" s="101"/>
      <c r="P31" s="101"/>
      <c r="Q31" s="101">
        <f t="shared" si="9"/>
        <v>0</v>
      </c>
      <c r="R31" s="101"/>
      <c r="S31" s="101"/>
      <c r="T31" s="101">
        <f t="shared" si="10"/>
        <v>29</v>
      </c>
      <c r="U31" s="101">
        <f t="shared" si="11"/>
        <v>0</v>
      </c>
      <c r="V31" s="101">
        <v>0</v>
      </c>
      <c r="W31" s="101"/>
      <c r="X31" s="101">
        <f t="shared" si="12"/>
        <v>29</v>
      </c>
      <c r="Y31" s="101">
        <v>29</v>
      </c>
      <c r="Z31" s="101"/>
      <c r="AA31" s="308">
        <f t="shared" si="13"/>
        <v>32</v>
      </c>
      <c r="AB31" s="149">
        <f t="shared" si="26"/>
        <v>0</v>
      </c>
      <c r="AC31" s="149">
        <f t="shared" si="27"/>
        <v>32</v>
      </c>
      <c r="AD31" s="149">
        <f t="shared" si="14"/>
        <v>0</v>
      </c>
      <c r="AE31" s="101">
        <f t="shared" si="15"/>
        <v>0</v>
      </c>
      <c r="AF31" s="101"/>
      <c r="AG31" s="101"/>
      <c r="AH31" s="101">
        <f t="shared" si="16"/>
        <v>0</v>
      </c>
      <c r="AI31" s="101"/>
      <c r="AJ31" s="101"/>
      <c r="AK31" s="101">
        <f t="shared" si="17"/>
        <v>0</v>
      </c>
      <c r="AL31" s="101">
        <f t="shared" si="18"/>
        <v>0</v>
      </c>
      <c r="AM31" s="309"/>
      <c r="AN31" s="101"/>
      <c r="AO31" s="101">
        <f t="shared" si="19"/>
        <v>0</v>
      </c>
      <c r="AP31" s="101"/>
      <c r="AQ31" s="101"/>
      <c r="AR31" s="101">
        <f t="shared" si="20"/>
        <v>32</v>
      </c>
      <c r="AS31" s="101">
        <f t="shared" si="21"/>
        <v>0</v>
      </c>
      <c r="AT31" s="309"/>
      <c r="AU31" s="101"/>
      <c r="AV31" s="101">
        <f t="shared" si="22"/>
        <v>32</v>
      </c>
      <c r="AW31" s="101">
        <v>32</v>
      </c>
      <c r="AX31" s="101"/>
      <c r="AY31" s="310">
        <f t="shared" si="28"/>
        <v>1.103448275862069</v>
      </c>
      <c r="AZ31" s="310"/>
      <c r="BA31" s="310">
        <f t="shared" si="28"/>
        <v>1.103448275862069</v>
      </c>
      <c r="BB31" s="310"/>
      <c r="BC31" s="310"/>
      <c r="BD31" s="310"/>
      <c r="BE31" s="310"/>
      <c r="BF31" s="310"/>
      <c r="BG31" s="310"/>
      <c r="BH31" s="310"/>
      <c r="BI31" s="310"/>
      <c r="BJ31" s="310"/>
      <c r="BK31" s="310"/>
      <c r="BL31" s="310"/>
      <c r="BM31" s="310"/>
      <c r="BN31" s="310"/>
      <c r="BO31" s="310"/>
      <c r="BQ31" s="303"/>
    </row>
    <row r="32" spans="1:69" x14ac:dyDescent="0.25">
      <c r="A32" s="123">
        <v>19</v>
      </c>
      <c r="B32" s="124" t="s">
        <v>562</v>
      </c>
      <c r="C32" s="100">
        <f t="shared" si="3"/>
        <v>51454</v>
      </c>
      <c r="D32" s="101">
        <f t="shared" si="24"/>
        <v>42433</v>
      </c>
      <c r="E32" s="101">
        <f t="shared" si="25"/>
        <v>9021</v>
      </c>
      <c r="F32" s="101">
        <f t="shared" si="4"/>
        <v>718</v>
      </c>
      <c r="G32" s="101">
        <f t="shared" si="5"/>
        <v>0</v>
      </c>
      <c r="H32" s="101"/>
      <c r="I32" s="101"/>
      <c r="J32" s="101">
        <f t="shared" si="6"/>
        <v>718</v>
      </c>
      <c r="K32" s="101">
        <v>718</v>
      </c>
      <c r="L32" s="101"/>
      <c r="M32" s="101">
        <f t="shared" si="7"/>
        <v>31594</v>
      </c>
      <c r="N32" s="101">
        <f t="shared" si="8"/>
        <v>31594</v>
      </c>
      <c r="O32" s="101">
        <v>31594</v>
      </c>
      <c r="P32" s="101"/>
      <c r="Q32" s="101">
        <f t="shared" si="9"/>
        <v>0</v>
      </c>
      <c r="R32" s="101"/>
      <c r="S32" s="101"/>
      <c r="T32" s="101">
        <f t="shared" si="10"/>
        <v>19142</v>
      </c>
      <c r="U32" s="101">
        <f t="shared" si="11"/>
        <v>10839</v>
      </c>
      <c r="V32" s="101">
        <v>10839</v>
      </c>
      <c r="W32" s="101"/>
      <c r="X32" s="101">
        <f t="shared" si="12"/>
        <v>8303</v>
      </c>
      <c r="Y32" s="101">
        <v>8303</v>
      </c>
      <c r="Z32" s="101"/>
      <c r="AA32" s="308">
        <f t="shared" si="13"/>
        <v>9585.5432519999995</v>
      </c>
      <c r="AB32" s="149">
        <f t="shared" si="26"/>
        <v>160.89564100000001</v>
      </c>
      <c r="AC32" s="149">
        <f t="shared" si="27"/>
        <v>9424.6476110000003</v>
      </c>
      <c r="AD32" s="149">
        <f t="shared" si="14"/>
        <v>681.76468</v>
      </c>
      <c r="AE32" s="101">
        <f t="shared" si="15"/>
        <v>0</v>
      </c>
      <c r="AF32" s="101"/>
      <c r="AG32" s="101"/>
      <c r="AH32" s="101">
        <f t="shared" si="16"/>
        <v>681.76468</v>
      </c>
      <c r="AI32" s="101">
        <v>681.76468</v>
      </c>
      <c r="AJ32" s="101"/>
      <c r="AK32" s="101">
        <f t="shared" si="17"/>
        <v>0</v>
      </c>
      <c r="AL32" s="101">
        <f t="shared" si="18"/>
        <v>0</v>
      </c>
      <c r="AM32" s="309"/>
      <c r="AN32" s="101"/>
      <c r="AO32" s="101">
        <f t="shared" si="19"/>
        <v>0</v>
      </c>
      <c r="AP32" s="101"/>
      <c r="AQ32" s="101"/>
      <c r="AR32" s="101">
        <f t="shared" si="20"/>
        <v>8903.7785719999993</v>
      </c>
      <c r="AS32" s="101">
        <f t="shared" si="21"/>
        <v>160.89564100000001</v>
      </c>
      <c r="AT32" s="309">
        <v>160.89564100000001</v>
      </c>
      <c r="AU32" s="101"/>
      <c r="AV32" s="101">
        <f t="shared" si="22"/>
        <v>8742.8829310000001</v>
      </c>
      <c r="AW32" s="101">
        <v>8742.8829310000001</v>
      </c>
      <c r="AX32" s="101"/>
      <c r="AY32" s="310">
        <f t="shared" si="28"/>
        <v>0.18629345147121701</v>
      </c>
      <c r="AZ32" s="310">
        <f t="shared" si="28"/>
        <v>3.7917573822260978E-3</v>
      </c>
      <c r="BA32" s="310">
        <f t="shared" si="28"/>
        <v>1.0447453287883828</v>
      </c>
      <c r="BB32" s="310">
        <f t="shared" si="28"/>
        <v>0.94953298050139279</v>
      </c>
      <c r="BC32" s="310"/>
      <c r="BD32" s="310"/>
      <c r="BE32" s="310"/>
      <c r="BF32" s="310">
        <f t="shared" si="28"/>
        <v>0.94953298050139279</v>
      </c>
      <c r="BG32" s="310">
        <f t="shared" si="28"/>
        <v>0.94953298050139279</v>
      </c>
      <c r="BH32" s="310"/>
      <c r="BI32" s="310">
        <f t="shared" si="28"/>
        <v>0</v>
      </c>
      <c r="BJ32" s="310">
        <f t="shared" si="28"/>
        <v>0</v>
      </c>
      <c r="BK32" s="310">
        <f t="shared" si="28"/>
        <v>0</v>
      </c>
      <c r="BL32" s="310"/>
      <c r="BM32" s="310"/>
      <c r="BN32" s="310"/>
      <c r="BO32" s="310"/>
      <c r="BQ32" s="303"/>
    </row>
    <row r="33" spans="1:69" x14ac:dyDescent="0.25">
      <c r="A33" s="123">
        <v>20</v>
      </c>
      <c r="B33" s="124" t="s">
        <v>621</v>
      </c>
      <c r="C33" s="100">
        <f t="shared" si="3"/>
        <v>123</v>
      </c>
      <c r="D33" s="101">
        <f t="shared" si="24"/>
        <v>0</v>
      </c>
      <c r="E33" s="101">
        <f t="shared" si="25"/>
        <v>123</v>
      </c>
      <c r="F33" s="101">
        <f t="shared" si="4"/>
        <v>0</v>
      </c>
      <c r="G33" s="101">
        <f t="shared" si="5"/>
        <v>0</v>
      </c>
      <c r="H33" s="101"/>
      <c r="I33" s="101"/>
      <c r="J33" s="101">
        <f t="shared" si="6"/>
        <v>0</v>
      </c>
      <c r="K33" s="101"/>
      <c r="L33" s="101"/>
      <c r="M33" s="101">
        <f t="shared" si="7"/>
        <v>0</v>
      </c>
      <c r="N33" s="101">
        <f t="shared" si="8"/>
        <v>0</v>
      </c>
      <c r="O33" s="101"/>
      <c r="P33" s="101"/>
      <c r="Q33" s="101">
        <f t="shared" si="9"/>
        <v>0</v>
      </c>
      <c r="R33" s="101"/>
      <c r="S33" s="101"/>
      <c r="T33" s="101">
        <f t="shared" si="10"/>
        <v>123</v>
      </c>
      <c r="U33" s="101">
        <f t="shared" si="11"/>
        <v>0</v>
      </c>
      <c r="V33" s="101">
        <v>0</v>
      </c>
      <c r="W33" s="101"/>
      <c r="X33" s="101">
        <f t="shared" si="12"/>
        <v>123</v>
      </c>
      <c r="Y33" s="101">
        <v>123</v>
      </c>
      <c r="Z33" s="101"/>
      <c r="AA33" s="308">
        <f t="shared" si="13"/>
        <v>105.82</v>
      </c>
      <c r="AB33" s="149">
        <f t="shared" si="26"/>
        <v>0</v>
      </c>
      <c r="AC33" s="149">
        <f t="shared" si="27"/>
        <v>105.82</v>
      </c>
      <c r="AD33" s="149">
        <f t="shared" si="14"/>
        <v>0</v>
      </c>
      <c r="AE33" s="101">
        <f t="shared" si="15"/>
        <v>0</v>
      </c>
      <c r="AF33" s="101"/>
      <c r="AG33" s="101"/>
      <c r="AH33" s="101">
        <f t="shared" si="16"/>
        <v>0</v>
      </c>
      <c r="AI33" s="101"/>
      <c r="AJ33" s="101"/>
      <c r="AK33" s="101">
        <f t="shared" si="17"/>
        <v>0</v>
      </c>
      <c r="AL33" s="101">
        <f t="shared" si="18"/>
        <v>0</v>
      </c>
      <c r="AM33" s="309"/>
      <c r="AN33" s="101"/>
      <c r="AO33" s="101">
        <f t="shared" si="19"/>
        <v>0</v>
      </c>
      <c r="AP33" s="101"/>
      <c r="AQ33" s="101"/>
      <c r="AR33" s="101">
        <f t="shared" si="20"/>
        <v>105.82</v>
      </c>
      <c r="AS33" s="101">
        <f t="shared" si="21"/>
        <v>0</v>
      </c>
      <c r="AT33" s="309"/>
      <c r="AU33" s="101"/>
      <c r="AV33" s="101">
        <f t="shared" si="22"/>
        <v>105.82</v>
      </c>
      <c r="AW33" s="101">
        <v>105.82</v>
      </c>
      <c r="AX33" s="101"/>
      <c r="AY33" s="310">
        <f t="shared" si="28"/>
        <v>0.86032520325203243</v>
      </c>
      <c r="AZ33" s="310"/>
      <c r="BA33" s="310">
        <f t="shared" si="28"/>
        <v>0.86032520325203243</v>
      </c>
      <c r="BB33" s="310"/>
      <c r="BC33" s="310"/>
      <c r="BD33" s="310"/>
      <c r="BE33" s="310"/>
      <c r="BF33" s="310"/>
      <c r="BG33" s="310"/>
      <c r="BH33" s="310"/>
      <c r="BI33" s="310"/>
      <c r="BJ33" s="310"/>
      <c r="BK33" s="310"/>
      <c r="BL33" s="310"/>
      <c r="BM33" s="310"/>
      <c r="BN33" s="310"/>
      <c r="BO33" s="310"/>
      <c r="BQ33" s="303"/>
    </row>
    <row r="34" spans="1:69" x14ac:dyDescent="0.25">
      <c r="A34" s="123">
        <v>21</v>
      </c>
      <c r="B34" s="124" t="s">
        <v>622</v>
      </c>
      <c r="C34" s="100">
        <f t="shared" si="3"/>
        <v>29</v>
      </c>
      <c r="D34" s="101">
        <f t="shared" si="24"/>
        <v>0</v>
      </c>
      <c r="E34" s="101">
        <f t="shared" si="25"/>
        <v>29</v>
      </c>
      <c r="F34" s="101">
        <f t="shared" si="4"/>
        <v>0</v>
      </c>
      <c r="G34" s="101">
        <f t="shared" si="5"/>
        <v>0</v>
      </c>
      <c r="H34" s="101"/>
      <c r="I34" s="101"/>
      <c r="J34" s="101">
        <f t="shared" si="6"/>
        <v>0</v>
      </c>
      <c r="K34" s="101"/>
      <c r="L34" s="101"/>
      <c r="M34" s="101">
        <f t="shared" si="7"/>
        <v>0</v>
      </c>
      <c r="N34" s="101">
        <f t="shared" si="8"/>
        <v>0</v>
      </c>
      <c r="O34" s="101"/>
      <c r="P34" s="101"/>
      <c r="Q34" s="101">
        <f t="shared" si="9"/>
        <v>0</v>
      </c>
      <c r="R34" s="101"/>
      <c r="S34" s="101"/>
      <c r="T34" s="101">
        <f t="shared" si="10"/>
        <v>29</v>
      </c>
      <c r="U34" s="101">
        <f t="shared" si="11"/>
        <v>0</v>
      </c>
      <c r="V34" s="101">
        <v>0</v>
      </c>
      <c r="W34" s="101"/>
      <c r="X34" s="101">
        <f t="shared" si="12"/>
        <v>29</v>
      </c>
      <c r="Y34" s="101">
        <v>29</v>
      </c>
      <c r="Z34" s="101"/>
      <c r="AA34" s="308">
        <f t="shared" si="13"/>
        <v>20.9</v>
      </c>
      <c r="AB34" s="149">
        <f t="shared" si="26"/>
        <v>0</v>
      </c>
      <c r="AC34" s="149">
        <f t="shared" si="27"/>
        <v>20.9</v>
      </c>
      <c r="AD34" s="149">
        <f t="shared" si="14"/>
        <v>0</v>
      </c>
      <c r="AE34" s="101">
        <f t="shared" si="15"/>
        <v>0</v>
      </c>
      <c r="AF34" s="101"/>
      <c r="AG34" s="101"/>
      <c r="AH34" s="101">
        <f t="shared" si="16"/>
        <v>0</v>
      </c>
      <c r="AI34" s="101"/>
      <c r="AJ34" s="101"/>
      <c r="AK34" s="101">
        <f t="shared" si="17"/>
        <v>0</v>
      </c>
      <c r="AL34" s="101">
        <f t="shared" si="18"/>
        <v>0</v>
      </c>
      <c r="AM34" s="309"/>
      <c r="AN34" s="101"/>
      <c r="AO34" s="101">
        <f t="shared" si="19"/>
        <v>0</v>
      </c>
      <c r="AP34" s="101"/>
      <c r="AQ34" s="101"/>
      <c r="AR34" s="101">
        <f t="shared" si="20"/>
        <v>20.9</v>
      </c>
      <c r="AS34" s="101">
        <f t="shared" si="21"/>
        <v>0</v>
      </c>
      <c r="AT34" s="309"/>
      <c r="AU34" s="101"/>
      <c r="AV34" s="101">
        <f t="shared" si="22"/>
        <v>20.9</v>
      </c>
      <c r="AW34" s="101">
        <v>20.9</v>
      </c>
      <c r="AX34" s="101"/>
      <c r="AY34" s="310">
        <f t="shared" si="28"/>
        <v>0.72068965517241379</v>
      </c>
      <c r="AZ34" s="310"/>
      <c r="BA34" s="310">
        <f t="shared" si="28"/>
        <v>0.72068965517241379</v>
      </c>
      <c r="BB34" s="310"/>
      <c r="BC34" s="310"/>
      <c r="BD34" s="310"/>
      <c r="BE34" s="310"/>
      <c r="BF34" s="310"/>
      <c r="BG34" s="310"/>
      <c r="BH34" s="310"/>
      <c r="BI34" s="310"/>
      <c r="BJ34" s="310"/>
      <c r="BK34" s="310"/>
      <c r="BL34" s="310"/>
      <c r="BM34" s="310"/>
      <c r="BN34" s="310"/>
      <c r="BO34" s="310"/>
      <c r="BQ34" s="303"/>
    </row>
    <row r="35" spans="1:69" ht="29.25" customHeight="1" x14ac:dyDescent="0.25">
      <c r="A35" s="123">
        <v>22</v>
      </c>
      <c r="B35" s="124" t="s">
        <v>623</v>
      </c>
      <c r="C35" s="100">
        <f t="shared" si="3"/>
        <v>29</v>
      </c>
      <c r="D35" s="101">
        <f t="shared" si="24"/>
        <v>0</v>
      </c>
      <c r="E35" s="101">
        <f t="shared" si="25"/>
        <v>29</v>
      </c>
      <c r="F35" s="101">
        <f t="shared" si="4"/>
        <v>0</v>
      </c>
      <c r="G35" s="101">
        <f t="shared" si="5"/>
        <v>0</v>
      </c>
      <c r="H35" s="101"/>
      <c r="I35" s="101"/>
      <c r="J35" s="101">
        <f t="shared" si="6"/>
        <v>0</v>
      </c>
      <c r="K35" s="101"/>
      <c r="L35" s="101"/>
      <c r="M35" s="101">
        <f t="shared" si="7"/>
        <v>0</v>
      </c>
      <c r="N35" s="101">
        <f t="shared" si="8"/>
        <v>0</v>
      </c>
      <c r="O35" s="101"/>
      <c r="P35" s="101"/>
      <c r="Q35" s="101">
        <f t="shared" si="9"/>
        <v>0</v>
      </c>
      <c r="R35" s="101"/>
      <c r="S35" s="101"/>
      <c r="T35" s="101">
        <f t="shared" si="10"/>
        <v>29</v>
      </c>
      <c r="U35" s="101">
        <f t="shared" si="11"/>
        <v>0</v>
      </c>
      <c r="V35" s="101">
        <v>0</v>
      </c>
      <c r="W35" s="101"/>
      <c r="X35" s="101">
        <f t="shared" si="12"/>
        <v>29</v>
      </c>
      <c r="Y35" s="101">
        <v>29</v>
      </c>
      <c r="Z35" s="101"/>
      <c r="AA35" s="308">
        <f t="shared" si="13"/>
        <v>0</v>
      </c>
      <c r="AB35" s="149">
        <f t="shared" si="26"/>
        <v>0</v>
      </c>
      <c r="AC35" s="149">
        <f t="shared" si="27"/>
        <v>0</v>
      </c>
      <c r="AD35" s="149">
        <f t="shared" si="14"/>
        <v>0</v>
      </c>
      <c r="AE35" s="101">
        <f t="shared" si="15"/>
        <v>0</v>
      </c>
      <c r="AF35" s="101"/>
      <c r="AG35" s="101"/>
      <c r="AH35" s="101">
        <f t="shared" si="16"/>
        <v>0</v>
      </c>
      <c r="AI35" s="101"/>
      <c r="AJ35" s="101"/>
      <c r="AK35" s="101">
        <f t="shared" si="17"/>
        <v>0</v>
      </c>
      <c r="AL35" s="101">
        <f t="shared" si="18"/>
        <v>0</v>
      </c>
      <c r="AM35" s="309"/>
      <c r="AN35" s="101"/>
      <c r="AO35" s="101">
        <f t="shared" si="19"/>
        <v>0</v>
      </c>
      <c r="AP35" s="101"/>
      <c r="AQ35" s="101"/>
      <c r="AR35" s="101">
        <f t="shared" si="20"/>
        <v>0</v>
      </c>
      <c r="AS35" s="101">
        <f t="shared" si="21"/>
        <v>0</v>
      </c>
      <c r="AT35" s="309"/>
      <c r="AU35" s="101"/>
      <c r="AV35" s="101">
        <f t="shared" si="22"/>
        <v>0</v>
      </c>
      <c r="AW35" s="101">
        <v>0</v>
      </c>
      <c r="AX35" s="101"/>
      <c r="AY35" s="310">
        <f t="shared" si="28"/>
        <v>0</v>
      </c>
      <c r="AZ35" s="310"/>
      <c r="BA35" s="310">
        <f t="shared" si="28"/>
        <v>0</v>
      </c>
      <c r="BB35" s="310"/>
      <c r="BC35" s="310"/>
      <c r="BD35" s="310"/>
      <c r="BE35" s="310"/>
      <c r="BF35" s="310"/>
      <c r="BG35" s="310"/>
      <c r="BH35" s="310"/>
      <c r="BI35" s="310"/>
      <c r="BJ35" s="310"/>
      <c r="BK35" s="310"/>
      <c r="BL35" s="310"/>
      <c r="BM35" s="310"/>
      <c r="BN35" s="310"/>
      <c r="BO35" s="310"/>
      <c r="BQ35" s="303"/>
    </row>
    <row r="36" spans="1:69" ht="25.5" x14ac:dyDescent="0.25">
      <c r="A36" s="123">
        <v>23</v>
      </c>
      <c r="B36" s="124" t="s">
        <v>624</v>
      </c>
      <c r="C36" s="100">
        <f t="shared" si="3"/>
        <v>9657</v>
      </c>
      <c r="D36" s="101">
        <f t="shared" si="24"/>
        <v>0</v>
      </c>
      <c r="E36" s="101">
        <f t="shared" si="25"/>
        <v>9657</v>
      </c>
      <c r="F36" s="101">
        <f t="shared" si="4"/>
        <v>0</v>
      </c>
      <c r="G36" s="101">
        <f t="shared" si="5"/>
        <v>0</v>
      </c>
      <c r="H36" s="101"/>
      <c r="I36" s="101"/>
      <c r="J36" s="101">
        <f t="shared" si="6"/>
        <v>0</v>
      </c>
      <c r="K36" s="101"/>
      <c r="L36" s="101"/>
      <c r="M36" s="101">
        <f t="shared" si="7"/>
        <v>0</v>
      </c>
      <c r="N36" s="101">
        <f t="shared" si="8"/>
        <v>0</v>
      </c>
      <c r="O36" s="101"/>
      <c r="P36" s="101"/>
      <c r="Q36" s="101">
        <f t="shared" si="9"/>
        <v>0</v>
      </c>
      <c r="R36" s="101"/>
      <c r="S36" s="101"/>
      <c r="T36" s="101">
        <f t="shared" si="10"/>
        <v>9657</v>
      </c>
      <c r="U36" s="101">
        <f t="shared" si="11"/>
        <v>0</v>
      </c>
      <c r="V36" s="101"/>
      <c r="W36" s="101"/>
      <c r="X36" s="101">
        <f t="shared" si="12"/>
        <v>9657</v>
      </c>
      <c r="Y36" s="101">
        <f>6687+2970</f>
        <v>9657</v>
      </c>
      <c r="Z36" s="101"/>
      <c r="AA36" s="308">
        <f t="shared" si="13"/>
        <v>6220.326</v>
      </c>
      <c r="AB36" s="149">
        <f t="shared" si="26"/>
        <v>0</v>
      </c>
      <c r="AC36" s="149">
        <f t="shared" si="27"/>
        <v>6220.326</v>
      </c>
      <c r="AD36" s="149">
        <f t="shared" si="14"/>
        <v>0</v>
      </c>
      <c r="AE36" s="101">
        <f t="shared" si="15"/>
        <v>0</v>
      </c>
      <c r="AF36" s="101"/>
      <c r="AG36" s="101"/>
      <c r="AH36" s="101">
        <f t="shared" si="16"/>
        <v>0</v>
      </c>
      <c r="AI36" s="101"/>
      <c r="AJ36" s="101"/>
      <c r="AK36" s="101">
        <f t="shared" si="17"/>
        <v>0</v>
      </c>
      <c r="AL36" s="101">
        <f t="shared" si="18"/>
        <v>0</v>
      </c>
      <c r="AM36" s="309"/>
      <c r="AN36" s="101"/>
      <c r="AO36" s="101">
        <f t="shared" si="19"/>
        <v>0</v>
      </c>
      <c r="AP36" s="101"/>
      <c r="AQ36" s="101"/>
      <c r="AR36" s="101">
        <f t="shared" si="20"/>
        <v>6220.326</v>
      </c>
      <c r="AS36" s="101">
        <f t="shared" si="21"/>
        <v>0</v>
      </c>
      <c r="AT36" s="309"/>
      <c r="AU36" s="101"/>
      <c r="AV36" s="101">
        <f t="shared" si="22"/>
        <v>6220.326</v>
      </c>
      <c r="AW36" s="101">
        <v>6220.326</v>
      </c>
      <c r="AX36" s="101"/>
      <c r="AY36" s="310">
        <f t="shared" si="28"/>
        <v>0.64412612612612608</v>
      </c>
      <c r="AZ36" s="310"/>
      <c r="BA36" s="310">
        <f t="shared" si="28"/>
        <v>0.64412612612612608</v>
      </c>
      <c r="BB36" s="310"/>
      <c r="BC36" s="310"/>
      <c r="BD36" s="310"/>
      <c r="BE36" s="310"/>
      <c r="BF36" s="310"/>
      <c r="BG36" s="310"/>
      <c r="BH36" s="310"/>
      <c r="BI36" s="310"/>
      <c r="BJ36" s="310"/>
      <c r="BK36" s="310"/>
      <c r="BL36" s="310"/>
      <c r="BM36" s="310"/>
      <c r="BN36" s="310"/>
      <c r="BO36" s="310"/>
      <c r="BQ36" s="303"/>
    </row>
    <row r="37" spans="1:69" ht="25.5" x14ac:dyDescent="0.25">
      <c r="A37" s="123">
        <v>24</v>
      </c>
      <c r="B37" s="124" t="s">
        <v>625</v>
      </c>
      <c r="C37" s="100">
        <f t="shared" si="3"/>
        <v>1689</v>
      </c>
      <c r="D37" s="101">
        <f t="shared" si="24"/>
        <v>0</v>
      </c>
      <c r="E37" s="101">
        <f t="shared" si="25"/>
        <v>1689</v>
      </c>
      <c r="F37" s="101">
        <f t="shared" si="4"/>
        <v>0</v>
      </c>
      <c r="G37" s="101">
        <f t="shared" si="5"/>
        <v>0</v>
      </c>
      <c r="H37" s="101"/>
      <c r="I37" s="101"/>
      <c r="J37" s="101">
        <f t="shared" si="6"/>
        <v>0</v>
      </c>
      <c r="K37" s="101"/>
      <c r="L37" s="101"/>
      <c r="M37" s="101">
        <f t="shared" si="7"/>
        <v>0</v>
      </c>
      <c r="N37" s="101">
        <f t="shared" si="8"/>
        <v>0</v>
      </c>
      <c r="O37" s="101"/>
      <c r="P37" s="101"/>
      <c r="Q37" s="101">
        <f t="shared" si="9"/>
        <v>0</v>
      </c>
      <c r="R37" s="101"/>
      <c r="S37" s="101"/>
      <c r="T37" s="101">
        <f t="shared" si="10"/>
        <v>1689</v>
      </c>
      <c r="U37" s="101">
        <f t="shared" si="11"/>
        <v>0</v>
      </c>
      <c r="V37" s="101"/>
      <c r="W37" s="101"/>
      <c r="X37" s="101">
        <f t="shared" si="12"/>
        <v>1689</v>
      </c>
      <c r="Y37" s="101">
        <f>976+713</f>
        <v>1689</v>
      </c>
      <c r="Z37" s="101"/>
      <c r="AA37" s="308">
        <f t="shared" si="13"/>
        <v>751.404</v>
      </c>
      <c r="AB37" s="149">
        <f t="shared" si="26"/>
        <v>0</v>
      </c>
      <c r="AC37" s="149">
        <f t="shared" si="27"/>
        <v>751.404</v>
      </c>
      <c r="AD37" s="149">
        <f t="shared" si="14"/>
        <v>0</v>
      </c>
      <c r="AE37" s="101">
        <f t="shared" si="15"/>
        <v>0</v>
      </c>
      <c r="AF37" s="101"/>
      <c r="AG37" s="101"/>
      <c r="AH37" s="101">
        <f t="shared" si="16"/>
        <v>0</v>
      </c>
      <c r="AI37" s="101"/>
      <c r="AJ37" s="101"/>
      <c r="AK37" s="101">
        <f t="shared" si="17"/>
        <v>0</v>
      </c>
      <c r="AL37" s="101">
        <f t="shared" si="18"/>
        <v>0</v>
      </c>
      <c r="AM37" s="309"/>
      <c r="AN37" s="101"/>
      <c r="AO37" s="101">
        <f t="shared" si="19"/>
        <v>0</v>
      </c>
      <c r="AP37" s="101"/>
      <c r="AQ37" s="101"/>
      <c r="AR37" s="101">
        <f t="shared" si="20"/>
        <v>751.404</v>
      </c>
      <c r="AS37" s="101">
        <f t="shared" si="21"/>
        <v>0</v>
      </c>
      <c r="AT37" s="309"/>
      <c r="AU37" s="101"/>
      <c r="AV37" s="101">
        <f t="shared" si="22"/>
        <v>751.404</v>
      </c>
      <c r="AW37" s="101">
        <v>751.404</v>
      </c>
      <c r="AX37" s="101"/>
      <c r="AY37" s="310">
        <f t="shared" si="28"/>
        <v>0.44488099467140318</v>
      </c>
      <c r="AZ37" s="310"/>
      <c r="BA37" s="310">
        <f t="shared" si="28"/>
        <v>0.44488099467140318</v>
      </c>
      <c r="BB37" s="310"/>
      <c r="BC37" s="310"/>
      <c r="BD37" s="310"/>
      <c r="BE37" s="310"/>
      <c r="BF37" s="310"/>
      <c r="BG37" s="310"/>
      <c r="BH37" s="310"/>
      <c r="BI37" s="310"/>
      <c r="BJ37" s="310"/>
      <c r="BK37" s="310"/>
      <c r="BL37" s="310"/>
      <c r="BM37" s="310"/>
      <c r="BN37" s="310"/>
      <c r="BO37" s="310"/>
      <c r="BQ37" s="303"/>
    </row>
    <row r="38" spans="1:69" ht="25.5" x14ac:dyDescent="0.25">
      <c r="A38" s="123">
        <v>25</v>
      </c>
      <c r="B38" s="124" t="s">
        <v>590</v>
      </c>
      <c r="C38" s="100">
        <f t="shared" si="3"/>
        <v>1591</v>
      </c>
      <c r="D38" s="101">
        <f t="shared" si="24"/>
        <v>0</v>
      </c>
      <c r="E38" s="101">
        <f t="shared" si="25"/>
        <v>1591</v>
      </c>
      <c r="F38" s="101">
        <f t="shared" si="4"/>
        <v>0</v>
      </c>
      <c r="G38" s="101">
        <f t="shared" si="5"/>
        <v>0</v>
      </c>
      <c r="H38" s="101"/>
      <c r="I38" s="101"/>
      <c r="J38" s="101">
        <f t="shared" si="6"/>
        <v>0</v>
      </c>
      <c r="K38" s="101"/>
      <c r="L38" s="101"/>
      <c r="M38" s="101">
        <f t="shared" si="7"/>
        <v>0</v>
      </c>
      <c r="N38" s="101">
        <f t="shared" si="8"/>
        <v>0</v>
      </c>
      <c r="O38" s="101"/>
      <c r="P38" s="101"/>
      <c r="Q38" s="101">
        <f t="shared" si="9"/>
        <v>0</v>
      </c>
      <c r="R38" s="101"/>
      <c r="S38" s="101"/>
      <c r="T38" s="101">
        <f t="shared" si="10"/>
        <v>1591</v>
      </c>
      <c r="U38" s="101">
        <f t="shared" si="11"/>
        <v>0</v>
      </c>
      <c r="V38" s="101"/>
      <c r="W38" s="101"/>
      <c r="X38" s="101">
        <f t="shared" si="12"/>
        <v>1591</v>
      </c>
      <c r="Y38" s="101">
        <v>1591</v>
      </c>
      <c r="Z38" s="101"/>
      <c r="AA38" s="308">
        <f t="shared" si="13"/>
        <v>414.26900000000001</v>
      </c>
      <c r="AB38" s="149">
        <f t="shared" si="26"/>
        <v>0</v>
      </c>
      <c r="AC38" s="149">
        <f t="shared" si="27"/>
        <v>414.26900000000001</v>
      </c>
      <c r="AD38" s="149">
        <f t="shared" si="14"/>
        <v>0</v>
      </c>
      <c r="AE38" s="101">
        <f t="shared" si="15"/>
        <v>0</v>
      </c>
      <c r="AF38" s="101"/>
      <c r="AG38" s="101"/>
      <c r="AH38" s="101">
        <f t="shared" si="16"/>
        <v>0</v>
      </c>
      <c r="AI38" s="101"/>
      <c r="AJ38" s="101"/>
      <c r="AK38" s="101">
        <f t="shared" si="17"/>
        <v>0</v>
      </c>
      <c r="AL38" s="101">
        <f t="shared" si="18"/>
        <v>0</v>
      </c>
      <c r="AM38" s="309"/>
      <c r="AN38" s="101"/>
      <c r="AO38" s="101">
        <f t="shared" si="19"/>
        <v>0</v>
      </c>
      <c r="AP38" s="101"/>
      <c r="AQ38" s="101"/>
      <c r="AR38" s="101">
        <f t="shared" si="20"/>
        <v>414.26900000000001</v>
      </c>
      <c r="AS38" s="101">
        <f t="shared" si="21"/>
        <v>0</v>
      </c>
      <c r="AT38" s="309"/>
      <c r="AU38" s="101"/>
      <c r="AV38" s="101">
        <f t="shared" si="22"/>
        <v>414.26900000000001</v>
      </c>
      <c r="AW38" s="101">
        <v>414.26900000000001</v>
      </c>
      <c r="AX38" s="101"/>
      <c r="AY38" s="310">
        <f t="shared" si="28"/>
        <v>0.2603827781269642</v>
      </c>
      <c r="AZ38" s="310"/>
      <c r="BA38" s="310">
        <f t="shared" si="28"/>
        <v>0.2603827781269642</v>
      </c>
      <c r="BB38" s="310"/>
      <c r="BC38" s="310"/>
      <c r="BD38" s="310"/>
      <c r="BE38" s="310"/>
      <c r="BF38" s="310"/>
      <c r="BG38" s="310"/>
      <c r="BH38" s="310"/>
      <c r="BI38" s="310"/>
      <c r="BJ38" s="310"/>
      <c r="BK38" s="310"/>
      <c r="BL38" s="310"/>
      <c r="BM38" s="310"/>
      <c r="BN38" s="310"/>
      <c r="BO38" s="310"/>
      <c r="BQ38" s="303"/>
    </row>
    <row r="39" spans="1:69" x14ac:dyDescent="0.25">
      <c r="A39" s="123">
        <v>26</v>
      </c>
      <c r="B39" s="124" t="s">
        <v>538</v>
      </c>
      <c r="C39" s="100">
        <v>1143</v>
      </c>
      <c r="D39" s="100">
        <v>0</v>
      </c>
      <c r="E39" s="100">
        <v>1143</v>
      </c>
      <c r="F39" s="100">
        <v>0</v>
      </c>
      <c r="G39" s="100">
        <v>0</v>
      </c>
      <c r="H39" s="100">
        <v>0</v>
      </c>
      <c r="I39" s="100">
        <v>0</v>
      </c>
      <c r="J39" s="100">
        <v>0</v>
      </c>
      <c r="K39" s="100">
        <v>0</v>
      </c>
      <c r="L39" s="100">
        <v>0</v>
      </c>
      <c r="M39" s="100">
        <v>200</v>
      </c>
      <c r="N39" s="100">
        <v>0</v>
      </c>
      <c r="O39" s="100">
        <v>0</v>
      </c>
      <c r="P39" s="100">
        <v>0</v>
      </c>
      <c r="Q39" s="100">
        <v>200</v>
      </c>
      <c r="R39" s="100">
        <v>200</v>
      </c>
      <c r="S39" s="100">
        <v>0</v>
      </c>
      <c r="T39" s="100">
        <v>943</v>
      </c>
      <c r="U39" s="100">
        <v>0</v>
      </c>
      <c r="V39" s="100">
        <v>0</v>
      </c>
      <c r="W39" s="100">
        <v>0</v>
      </c>
      <c r="X39" s="100">
        <v>943</v>
      </c>
      <c r="Y39" s="100">
        <v>943</v>
      </c>
      <c r="Z39" s="100">
        <v>0</v>
      </c>
      <c r="AA39" s="100">
        <v>1438</v>
      </c>
      <c r="AB39" s="100">
        <v>0</v>
      </c>
      <c r="AC39" s="100">
        <v>1438</v>
      </c>
      <c r="AD39" s="100">
        <v>0</v>
      </c>
      <c r="AE39" s="100">
        <v>0</v>
      </c>
      <c r="AF39" s="100">
        <v>0</v>
      </c>
      <c r="AG39" s="100">
        <v>0</v>
      </c>
      <c r="AH39" s="100">
        <v>0</v>
      </c>
      <c r="AI39" s="100">
        <v>0</v>
      </c>
      <c r="AJ39" s="100">
        <v>0</v>
      </c>
      <c r="AK39" s="100">
        <v>400</v>
      </c>
      <c r="AL39" s="100">
        <v>0</v>
      </c>
      <c r="AM39" s="100">
        <v>0</v>
      </c>
      <c r="AN39" s="100">
        <v>0</v>
      </c>
      <c r="AO39" s="100">
        <v>400</v>
      </c>
      <c r="AP39" s="100">
        <v>400</v>
      </c>
      <c r="AQ39" s="100">
        <v>0</v>
      </c>
      <c r="AR39" s="100">
        <v>1038</v>
      </c>
      <c r="AS39" s="100">
        <v>0</v>
      </c>
      <c r="AT39" s="100">
        <v>0</v>
      </c>
      <c r="AU39" s="100">
        <v>0</v>
      </c>
      <c r="AV39" s="100">
        <v>1038</v>
      </c>
      <c r="AW39" s="100">
        <v>1038</v>
      </c>
      <c r="AX39" s="100">
        <v>0</v>
      </c>
      <c r="AY39" s="310">
        <f>AA39/C39</f>
        <v>1.258092738407699</v>
      </c>
      <c r="AZ39" s="310"/>
      <c r="BA39" s="310">
        <f t="shared" si="28"/>
        <v>1.258092738407699</v>
      </c>
      <c r="BB39" s="310"/>
      <c r="BC39" s="310"/>
      <c r="BD39" s="310"/>
      <c r="BE39" s="310"/>
      <c r="BF39" s="310"/>
      <c r="BG39" s="310"/>
      <c r="BH39" s="310"/>
      <c r="BI39" s="310">
        <f t="shared" ref="BI39" si="29">AK39/M39</f>
        <v>2</v>
      </c>
      <c r="BJ39" s="310"/>
      <c r="BK39" s="310"/>
      <c r="BL39" s="310"/>
      <c r="BM39" s="310">
        <f t="shared" ref="BM39" si="30">AO39/Q39</f>
        <v>2</v>
      </c>
      <c r="BN39" s="310">
        <f t="shared" ref="BN39" si="31">AP39/R39</f>
        <v>2</v>
      </c>
      <c r="BO39" s="310"/>
      <c r="BQ39" s="303"/>
    </row>
    <row r="40" spans="1:69" x14ac:dyDescent="0.25">
      <c r="A40" s="123">
        <v>27</v>
      </c>
      <c r="B40" s="124" t="s">
        <v>422</v>
      </c>
      <c r="C40" s="100">
        <f t="shared" si="3"/>
        <v>0</v>
      </c>
      <c r="D40" s="101">
        <f t="shared" si="24"/>
        <v>0</v>
      </c>
      <c r="E40" s="101">
        <f t="shared" si="25"/>
        <v>0</v>
      </c>
      <c r="F40" s="101">
        <f t="shared" si="4"/>
        <v>0</v>
      </c>
      <c r="G40" s="101">
        <f t="shared" si="5"/>
        <v>0</v>
      </c>
      <c r="H40" s="101"/>
      <c r="I40" s="101"/>
      <c r="J40" s="101">
        <f t="shared" si="6"/>
        <v>0</v>
      </c>
      <c r="K40" s="101"/>
      <c r="L40" s="101"/>
      <c r="M40" s="101">
        <f t="shared" si="7"/>
        <v>0</v>
      </c>
      <c r="N40" s="101">
        <f t="shared" si="8"/>
        <v>0</v>
      </c>
      <c r="O40" s="101">
        <v>0</v>
      </c>
      <c r="P40" s="101"/>
      <c r="Q40" s="101">
        <f t="shared" si="9"/>
        <v>0</v>
      </c>
      <c r="R40" s="101"/>
      <c r="S40" s="101"/>
      <c r="T40" s="101">
        <f t="shared" si="10"/>
        <v>0</v>
      </c>
      <c r="U40" s="101">
        <f t="shared" si="11"/>
        <v>0</v>
      </c>
      <c r="V40" s="101"/>
      <c r="W40" s="101"/>
      <c r="X40" s="101">
        <f t="shared" si="12"/>
        <v>0</v>
      </c>
      <c r="Y40" s="101"/>
      <c r="Z40" s="101"/>
      <c r="AA40" s="308">
        <f t="shared" si="13"/>
        <v>1185.3900000000001</v>
      </c>
      <c r="AB40" s="149">
        <f t="shared" si="26"/>
        <v>1185.3900000000001</v>
      </c>
      <c r="AC40" s="149">
        <f t="shared" si="27"/>
        <v>0</v>
      </c>
      <c r="AD40" s="149">
        <f t="shared" si="14"/>
        <v>1185.3900000000001</v>
      </c>
      <c r="AE40" s="101">
        <f t="shared" si="15"/>
        <v>1185.3900000000001</v>
      </c>
      <c r="AF40" s="101">
        <v>1185.3900000000001</v>
      </c>
      <c r="AG40" s="101"/>
      <c r="AH40" s="101">
        <f t="shared" si="16"/>
        <v>0</v>
      </c>
      <c r="AI40" s="101"/>
      <c r="AJ40" s="101"/>
      <c r="AK40" s="101">
        <f t="shared" si="17"/>
        <v>0</v>
      </c>
      <c r="AL40" s="101">
        <f t="shared" si="18"/>
        <v>0</v>
      </c>
      <c r="AM40" s="309"/>
      <c r="AN40" s="101"/>
      <c r="AO40" s="101">
        <f t="shared" si="19"/>
        <v>0</v>
      </c>
      <c r="AP40" s="101"/>
      <c r="AQ40" s="101"/>
      <c r="AR40" s="101">
        <f t="shared" si="20"/>
        <v>0</v>
      </c>
      <c r="AS40" s="101">
        <f t="shared" si="21"/>
        <v>0</v>
      </c>
      <c r="AT40" s="309"/>
      <c r="AU40" s="101"/>
      <c r="AV40" s="101">
        <f t="shared" si="22"/>
        <v>0</v>
      </c>
      <c r="AW40" s="101"/>
      <c r="AX40" s="101"/>
      <c r="AY40" s="310"/>
      <c r="AZ40" s="310"/>
      <c r="BA40" s="310"/>
      <c r="BB40" s="310"/>
      <c r="BC40" s="310"/>
      <c r="BD40" s="310"/>
      <c r="BE40" s="310"/>
      <c r="BF40" s="310"/>
      <c r="BG40" s="310"/>
      <c r="BH40" s="310"/>
      <c r="BI40" s="310"/>
      <c r="BJ40" s="310"/>
      <c r="BK40" s="310"/>
      <c r="BL40" s="310"/>
      <c r="BM40" s="310"/>
      <c r="BN40" s="310"/>
      <c r="BO40" s="310"/>
      <c r="BQ40" s="303"/>
    </row>
    <row r="41" spans="1:69" s="52" customFormat="1" ht="14.25" x14ac:dyDescent="0.2">
      <c r="A41" s="133" t="s">
        <v>25</v>
      </c>
      <c r="B41" s="311" t="s">
        <v>251</v>
      </c>
      <c r="C41" s="312">
        <f t="shared" ref="C41:AX41" si="32">SUBTOTAL(9,C42:C52)</f>
        <v>1025995</v>
      </c>
      <c r="D41" s="306">
        <f t="shared" si="32"/>
        <v>607353</v>
      </c>
      <c r="E41" s="306">
        <f t="shared" si="32"/>
        <v>418642</v>
      </c>
      <c r="F41" s="306">
        <f t="shared" si="32"/>
        <v>251861</v>
      </c>
      <c r="G41" s="306">
        <f t="shared" si="32"/>
        <v>121436</v>
      </c>
      <c r="H41" s="306">
        <f t="shared" si="32"/>
        <v>121436</v>
      </c>
      <c r="I41" s="306">
        <f t="shared" si="32"/>
        <v>0</v>
      </c>
      <c r="J41" s="306">
        <f t="shared" si="32"/>
        <v>130425</v>
      </c>
      <c r="K41" s="306">
        <f t="shared" si="32"/>
        <v>130425</v>
      </c>
      <c r="L41" s="306">
        <f t="shared" si="32"/>
        <v>0</v>
      </c>
      <c r="M41" s="306">
        <f t="shared" si="32"/>
        <v>133562</v>
      </c>
      <c r="N41" s="306">
        <f t="shared" si="32"/>
        <v>104130</v>
      </c>
      <c r="O41" s="306">
        <f t="shared" si="32"/>
        <v>104130</v>
      </c>
      <c r="P41" s="306">
        <f t="shared" si="32"/>
        <v>0</v>
      </c>
      <c r="Q41" s="306">
        <f t="shared" si="32"/>
        <v>29432</v>
      </c>
      <c r="R41" s="306">
        <f t="shared" si="32"/>
        <v>29432</v>
      </c>
      <c r="S41" s="306">
        <f t="shared" si="32"/>
        <v>0</v>
      </c>
      <c r="T41" s="306">
        <f t="shared" si="32"/>
        <v>640572</v>
      </c>
      <c r="U41" s="306">
        <f t="shared" si="32"/>
        <v>381787</v>
      </c>
      <c r="V41" s="306">
        <f t="shared" si="32"/>
        <v>381787</v>
      </c>
      <c r="W41" s="306">
        <f t="shared" si="32"/>
        <v>0</v>
      </c>
      <c r="X41" s="306">
        <f t="shared" si="32"/>
        <v>258785</v>
      </c>
      <c r="Y41" s="306">
        <f t="shared" si="32"/>
        <v>258785</v>
      </c>
      <c r="Z41" s="306">
        <f t="shared" si="32"/>
        <v>0</v>
      </c>
      <c r="AA41" s="306">
        <f t="shared" si="32"/>
        <v>1125415.390045</v>
      </c>
      <c r="AB41" s="306">
        <f t="shared" si="32"/>
        <v>818747.35722300003</v>
      </c>
      <c r="AC41" s="306">
        <f t="shared" si="32"/>
        <v>306668.03282199998</v>
      </c>
      <c r="AD41" s="306">
        <f t="shared" si="32"/>
        <v>298128.06991399999</v>
      </c>
      <c r="AE41" s="306">
        <f t="shared" si="32"/>
        <v>176083.07435400001</v>
      </c>
      <c r="AF41" s="306">
        <f t="shared" si="32"/>
        <v>176083.07435400001</v>
      </c>
      <c r="AG41" s="306">
        <f t="shared" si="32"/>
        <v>0</v>
      </c>
      <c r="AH41" s="306">
        <f t="shared" si="32"/>
        <v>122044.99555999998</v>
      </c>
      <c r="AI41" s="306">
        <f t="shared" si="32"/>
        <v>122044.99555999998</v>
      </c>
      <c r="AJ41" s="306">
        <f t="shared" si="32"/>
        <v>0</v>
      </c>
      <c r="AK41" s="306">
        <f t="shared" si="32"/>
        <v>233244.728741</v>
      </c>
      <c r="AL41" s="306">
        <f t="shared" si="32"/>
        <v>183029.41902</v>
      </c>
      <c r="AM41" s="306">
        <f t="shared" si="32"/>
        <v>183029.41902</v>
      </c>
      <c r="AN41" s="306">
        <f t="shared" si="32"/>
        <v>0</v>
      </c>
      <c r="AO41" s="306">
        <f t="shared" si="32"/>
        <v>50215.309720999991</v>
      </c>
      <c r="AP41" s="306">
        <f t="shared" si="32"/>
        <v>50215.309720999991</v>
      </c>
      <c r="AQ41" s="306">
        <f t="shared" si="32"/>
        <v>0</v>
      </c>
      <c r="AR41" s="306">
        <f t="shared" si="32"/>
        <v>594042.59138999996</v>
      </c>
      <c r="AS41" s="306">
        <f t="shared" si="32"/>
        <v>459634.86384900007</v>
      </c>
      <c r="AT41" s="306">
        <f t="shared" si="32"/>
        <v>459634.86384900007</v>
      </c>
      <c r="AU41" s="306">
        <f t="shared" si="32"/>
        <v>0</v>
      </c>
      <c r="AV41" s="306">
        <f t="shared" si="32"/>
        <v>134407.727541</v>
      </c>
      <c r="AW41" s="306">
        <f t="shared" si="32"/>
        <v>134407.727541</v>
      </c>
      <c r="AX41" s="306">
        <f t="shared" si="32"/>
        <v>0</v>
      </c>
      <c r="AY41" s="307">
        <f t="shared" si="28"/>
        <v>1.0969014371853665</v>
      </c>
      <c r="AZ41" s="307">
        <f t="shared" si="28"/>
        <v>1.3480584721290585</v>
      </c>
      <c r="BA41" s="307">
        <f t="shared" si="28"/>
        <v>0.732530498186995</v>
      </c>
      <c r="BB41" s="307">
        <f t="shared" si="28"/>
        <v>1.183700810820254</v>
      </c>
      <c r="BC41" s="307">
        <f t="shared" si="28"/>
        <v>1.4500072001218749</v>
      </c>
      <c r="BD41" s="307">
        <f t="shared" si="28"/>
        <v>1.4500072001218749</v>
      </c>
      <c r="BE41" s="307"/>
      <c r="BF41" s="307">
        <f t="shared" si="28"/>
        <v>0.93574848042936543</v>
      </c>
      <c r="BG41" s="307">
        <f t="shared" si="28"/>
        <v>0.93574848042936543</v>
      </c>
      <c r="BH41" s="307"/>
      <c r="BI41" s="307">
        <f t="shared" si="28"/>
        <v>1.7463404916143814</v>
      </c>
      <c r="BJ41" s="307">
        <f t="shared" si="28"/>
        <v>1.7577011333909536</v>
      </c>
      <c r="BK41" s="307">
        <f t="shared" si="28"/>
        <v>1.7577011333909536</v>
      </c>
      <c r="BL41" s="307"/>
      <c r="BM41" s="307">
        <f t="shared" si="28"/>
        <v>1.7061467015833103</v>
      </c>
      <c r="BN41" s="307">
        <f t="shared" si="28"/>
        <v>1.7061467015833103</v>
      </c>
      <c r="BO41" s="307"/>
    </row>
    <row r="42" spans="1:69" x14ac:dyDescent="0.25">
      <c r="A42" s="123">
        <v>1</v>
      </c>
      <c r="B42" s="124" t="s">
        <v>423</v>
      </c>
      <c r="C42" s="100">
        <f>D42+E42</f>
        <v>44597</v>
      </c>
      <c r="D42" s="101">
        <f t="shared" ref="D42:D51" si="33">G42+U42+N42</f>
        <v>23461</v>
      </c>
      <c r="E42" s="101">
        <f t="shared" ref="E42:E51" si="34">J42+X42+Q42</f>
        <v>21136</v>
      </c>
      <c r="F42" s="101">
        <f>G42+J42</f>
        <v>8463</v>
      </c>
      <c r="G42" s="101">
        <f>H42+I42</f>
        <v>0</v>
      </c>
      <c r="H42" s="101"/>
      <c r="I42" s="101"/>
      <c r="J42" s="101">
        <f>K42+L42</f>
        <v>8463</v>
      </c>
      <c r="K42" s="101">
        <v>8463</v>
      </c>
      <c r="L42" s="101"/>
      <c r="M42" s="101">
        <f>N42+Q42</f>
        <v>21347</v>
      </c>
      <c r="N42" s="101">
        <f>O42+P42</f>
        <v>17223</v>
      </c>
      <c r="O42" s="101">
        <v>17223</v>
      </c>
      <c r="P42" s="101"/>
      <c r="Q42" s="101">
        <f>R42+S42</f>
        <v>4124</v>
      </c>
      <c r="R42" s="101">
        <f>3996+128</f>
        <v>4124</v>
      </c>
      <c r="S42" s="101"/>
      <c r="T42" s="101">
        <f>U42+X42</f>
        <v>14787</v>
      </c>
      <c r="U42" s="101">
        <f>V42+W42</f>
        <v>6238</v>
      </c>
      <c r="V42" s="101">
        <v>6238</v>
      </c>
      <c r="W42" s="101"/>
      <c r="X42" s="101">
        <f>Y42+Z42</f>
        <v>8549</v>
      </c>
      <c r="Y42" s="101">
        <v>8549</v>
      </c>
      <c r="Z42" s="101"/>
      <c r="AA42" s="308">
        <f t="shared" ref="AA42:AA51" si="35">AB42+AC42</f>
        <v>42127.951379000006</v>
      </c>
      <c r="AB42" s="149">
        <f t="shared" ref="AB42:AB51" si="36">AE42+AS42+AL42</f>
        <v>26242.206163000003</v>
      </c>
      <c r="AC42" s="149">
        <f t="shared" ref="AC42:AC51" si="37">AH42+AV42+AO42</f>
        <v>15885.745215999999</v>
      </c>
      <c r="AD42" s="149">
        <f t="shared" ref="AD42:AD51" si="38">AE42+AH42</f>
        <v>8412.9663820000005</v>
      </c>
      <c r="AE42" s="101">
        <f>AF42+AG42</f>
        <v>0</v>
      </c>
      <c r="AF42" s="101">
        <v>0</v>
      </c>
      <c r="AG42" s="101"/>
      <c r="AH42" s="101">
        <f>AI42+AJ42</f>
        <v>8412.9663820000005</v>
      </c>
      <c r="AI42" s="101">
        <v>8412.9663820000005</v>
      </c>
      <c r="AJ42" s="101"/>
      <c r="AK42" s="101">
        <f>AL42+AO42</f>
        <v>23602.524525000001</v>
      </c>
      <c r="AL42" s="101">
        <f>AM42+AN42</f>
        <v>19652.945499000001</v>
      </c>
      <c r="AM42" s="309">
        <v>19652.945499000001</v>
      </c>
      <c r="AN42" s="101"/>
      <c r="AO42" s="101">
        <f>AP42+AQ42</f>
        <v>3949.5790259999999</v>
      </c>
      <c r="AP42" s="101">
        <v>3949.5790259999999</v>
      </c>
      <c r="AQ42" s="101">
        <v>0</v>
      </c>
      <c r="AR42" s="101">
        <f>AS42+AV42</f>
        <v>10112.460472000001</v>
      </c>
      <c r="AS42" s="101">
        <f>AT42+AU42</f>
        <v>6589.2606640000004</v>
      </c>
      <c r="AT42" s="309">
        <v>6589.2606640000004</v>
      </c>
      <c r="AU42" s="101"/>
      <c r="AV42" s="101">
        <f>AW42+AX42</f>
        <v>3523.1998079999998</v>
      </c>
      <c r="AW42" s="101">
        <v>3523.1998079999998</v>
      </c>
      <c r="AX42" s="101">
        <v>0</v>
      </c>
      <c r="AY42" s="310">
        <f t="shared" si="28"/>
        <v>0.94463644144224956</v>
      </c>
      <c r="AZ42" s="310">
        <f t="shared" si="28"/>
        <v>1.1185459342312776</v>
      </c>
      <c r="BA42" s="310">
        <f t="shared" si="28"/>
        <v>0.75159657532172597</v>
      </c>
      <c r="BB42" s="310">
        <f t="shared" si="28"/>
        <v>0.9940879572255702</v>
      </c>
      <c r="BC42" s="310"/>
      <c r="BD42" s="310"/>
      <c r="BE42" s="310"/>
      <c r="BF42" s="310">
        <f t="shared" si="28"/>
        <v>0.9940879572255702</v>
      </c>
      <c r="BG42" s="310">
        <f t="shared" si="28"/>
        <v>0.9940879572255702</v>
      </c>
      <c r="BH42" s="310"/>
      <c r="BI42" s="310">
        <f t="shared" si="28"/>
        <v>1.10566002365672</v>
      </c>
      <c r="BJ42" s="310">
        <f t="shared" si="28"/>
        <v>1.1410872379376416</v>
      </c>
      <c r="BK42" s="310">
        <f t="shared" si="28"/>
        <v>1.1410872379376416</v>
      </c>
      <c r="BL42" s="310"/>
      <c r="BM42" s="310">
        <f t="shared" si="28"/>
        <v>0.9577058743937924</v>
      </c>
      <c r="BN42" s="310">
        <f t="shared" si="28"/>
        <v>0.9577058743937924</v>
      </c>
      <c r="BO42" s="310"/>
      <c r="BQ42" s="303"/>
    </row>
    <row r="43" spans="1:69" x14ac:dyDescent="0.25">
      <c r="A43" s="123">
        <v>2</v>
      </c>
      <c r="B43" s="124" t="s">
        <v>133</v>
      </c>
      <c r="C43" s="100">
        <f t="shared" ref="C43:C51" si="39">D43+E43</f>
        <v>75452</v>
      </c>
      <c r="D43" s="101">
        <f t="shared" si="33"/>
        <v>36197</v>
      </c>
      <c r="E43" s="101">
        <f t="shared" si="34"/>
        <v>39255</v>
      </c>
      <c r="F43" s="101">
        <f t="shared" ref="F43:F51" si="40">G43+J43</f>
        <v>10416</v>
      </c>
      <c r="G43" s="101">
        <f t="shared" ref="G43:G51" si="41">H43+I43</f>
        <v>0</v>
      </c>
      <c r="H43" s="101"/>
      <c r="I43" s="101"/>
      <c r="J43" s="101">
        <f t="shared" ref="J43:J51" si="42">K43+L43</f>
        <v>10416</v>
      </c>
      <c r="K43" s="101">
        <v>10416</v>
      </c>
      <c r="L43" s="101"/>
      <c r="M43" s="101">
        <f t="shared" ref="M43:M51" si="43">N43+Q43</f>
        <v>11851</v>
      </c>
      <c r="N43" s="101">
        <f t="shared" ref="N43:N51" si="44">O43+P43</f>
        <v>8105</v>
      </c>
      <c r="O43" s="101">
        <v>8105</v>
      </c>
      <c r="P43" s="101"/>
      <c r="Q43" s="101">
        <f t="shared" ref="Q43:Q51" si="45">R43+S43</f>
        <v>3746</v>
      </c>
      <c r="R43" s="101">
        <f>3650+96</f>
        <v>3746</v>
      </c>
      <c r="S43" s="101"/>
      <c r="T43" s="101">
        <f t="shared" ref="T43:T51" si="46">U43+X43</f>
        <v>53185</v>
      </c>
      <c r="U43" s="101">
        <f t="shared" ref="U43:U51" si="47">V43+W43</f>
        <v>28092</v>
      </c>
      <c r="V43" s="101">
        <f>38309-10217</f>
        <v>28092</v>
      </c>
      <c r="W43" s="101"/>
      <c r="X43" s="101">
        <f t="shared" ref="X43:X51" si="48">Y43+Z43</f>
        <v>25093</v>
      </c>
      <c r="Y43" s="101">
        <f>22370+2723</f>
        <v>25093</v>
      </c>
      <c r="Z43" s="101"/>
      <c r="AA43" s="308">
        <f t="shared" si="35"/>
        <v>74415.28605200001</v>
      </c>
      <c r="AB43" s="149">
        <f t="shared" si="36"/>
        <v>41042.821039000002</v>
      </c>
      <c r="AC43" s="149">
        <f t="shared" si="37"/>
        <v>33372.465013000001</v>
      </c>
      <c r="AD43" s="149">
        <f t="shared" si="38"/>
        <v>10584.634499</v>
      </c>
      <c r="AE43" s="101">
        <f t="shared" ref="AE43:AE51" si="49">AF43+AG43</f>
        <v>0</v>
      </c>
      <c r="AF43" s="101">
        <v>0</v>
      </c>
      <c r="AG43" s="101"/>
      <c r="AH43" s="101">
        <f t="shared" ref="AH43:AH51" si="50">AI43+AJ43</f>
        <v>10584.634499</v>
      </c>
      <c r="AI43" s="101">
        <v>10584.634499</v>
      </c>
      <c r="AJ43" s="101"/>
      <c r="AK43" s="101">
        <f t="shared" ref="AK43:AK51" si="51">AL43+AO43</f>
        <v>13860.80702</v>
      </c>
      <c r="AL43" s="101">
        <f t="shared" ref="AL43:AL51" si="52">AM43+AN43</f>
        <v>8207.1483740000003</v>
      </c>
      <c r="AM43" s="309">
        <v>8207.1483740000003</v>
      </c>
      <c r="AN43" s="101"/>
      <c r="AO43" s="101">
        <f t="shared" ref="AO43:AO51" si="53">AP43+AQ43</f>
        <v>5653.6586459999999</v>
      </c>
      <c r="AP43" s="101">
        <v>5653.6586459999999</v>
      </c>
      <c r="AQ43" s="101">
        <v>0</v>
      </c>
      <c r="AR43" s="101">
        <f t="shared" ref="AR43:AR51" si="54">AS43+AV43</f>
        <v>49969.844532999996</v>
      </c>
      <c r="AS43" s="101">
        <f t="shared" ref="AS43:AS51" si="55">AT43+AU43</f>
        <v>32835.672664999998</v>
      </c>
      <c r="AT43" s="309">
        <v>32835.672664999998</v>
      </c>
      <c r="AU43" s="101"/>
      <c r="AV43" s="101">
        <f t="shared" ref="AV43:AV51" si="56">AW43+AX43</f>
        <v>17134.171868000001</v>
      </c>
      <c r="AW43" s="101">
        <v>17134.171868000001</v>
      </c>
      <c r="AX43" s="101">
        <v>0</v>
      </c>
      <c r="AY43" s="310">
        <f t="shared" si="28"/>
        <v>0.98625995403700384</v>
      </c>
      <c r="AZ43" s="310">
        <f t="shared" si="28"/>
        <v>1.1338735541343206</v>
      </c>
      <c r="BA43" s="310">
        <f t="shared" si="28"/>
        <v>0.85014558688065212</v>
      </c>
      <c r="BB43" s="310">
        <f t="shared" si="28"/>
        <v>1.0161899480606758</v>
      </c>
      <c r="BC43" s="310"/>
      <c r="BD43" s="310"/>
      <c r="BE43" s="310"/>
      <c r="BF43" s="310">
        <f t="shared" si="28"/>
        <v>1.0161899480606758</v>
      </c>
      <c r="BG43" s="310">
        <f t="shared" si="28"/>
        <v>1.0161899480606758</v>
      </c>
      <c r="BH43" s="310"/>
      <c r="BI43" s="310">
        <f t="shared" si="28"/>
        <v>1.169589656569066</v>
      </c>
      <c r="BJ43" s="310">
        <f t="shared" si="28"/>
        <v>1.0126031306600864</v>
      </c>
      <c r="BK43" s="310">
        <f t="shared" si="28"/>
        <v>1.0126031306600864</v>
      </c>
      <c r="BL43" s="310"/>
      <c r="BM43" s="310">
        <f t="shared" si="28"/>
        <v>1.5092521745862253</v>
      </c>
      <c r="BN43" s="310">
        <f t="shared" si="28"/>
        <v>1.5092521745862253</v>
      </c>
      <c r="BO43" s="310"/>
      <c r="BQ43" s="303"/>
    </row>
    <row r="44" spans="1:69" x14ac:dyDescent="0.25">
      <c r="A44" s="123">
        <v>3</v>
      </c>
      <c r="B44" s="124" t="s">
        <v>135</v>
      </c>
      <c r="C44" s="100">
        <f t="shared" si="39"/>
        <v>81834</v>
      </c>
      <c r="D44" s="101">
        <f t="shared" si="33"/>
        <v>39016</v>
      </c>
      <c r="E44" s="101">
        <f t="shared" si="34"/>
        <v>42818</v>
      </c>
      <c r="F44" s="101">
        <f t="shared" si="40"/>
        <v>8139</v>
      </c>
      <c r="G44" s="101">
        <f t="shared" si="41"/>
        <v>0</v>
      </c>
      <c r="H44" s="101"/>
      <c r="I44" s="101"/>
      <c r="J44" s="101">
        <f t="shared" si="42"/>
        <v>8139</v>
      </c>
      <c r="K44" s="101">
        <v>8139</v>
      </c>
      <c r="L44" s="101"/>
      <c r="M44" s="101">
        <f t="shared" si="43"/>
        <v>7505</v>
      </c>
      <c r="N44" s="101">
        <f t="shared" si="44"/>
        <v>4979</v>
      </c>
      <c r="O44" s="101">
        <f>3039+1940</f>
        <v>4979</v>
      </c>
      <c r="P44" s="101"/>
      <c r="Q44" s="101">
        <f t="shared" si="45"/>
        <v>2526</v>
      </c>
      <c r="R44" s="101">
        <f>2430+96</f>
        <v>2526</v>
      </c>
      <c r="S44" s="101"/>
      <c r="T44" s="101">
        <f t="shared" si="46"/>
        <v>66190</v>
      </c>
      <c r="U44" s="101">
        <f t="shared" si="47"/>
        <v>34037</v>
      </c>
      <c r="V44" s="101">
        <v>34037</v>
      </c>
      <c r="W44" s="101"/>
      <c r="X44" s="101">
        <f t="shared" si="48"/>
        <v>32153</v>
      </c>
      <c r="Y44" s="101">
        <f>23691+8462</f>
        <v>32153</v>
      </c>
      <c r="Z44" s="101"/>
      <c r="AA44" s="308">
        <f t="shared" si="35"/>
        <v>89845.177366999997</v>
      </c>
      <c r="AB44" s="149">
        <f t="shared" si="36"/>
        <v>64202.15625</v>
      </c>
      <c r="AC44" s="149">
        <f t="shared" si="37"/>
        <v>25643.021117</v>
      </c>
      <c r="AD44" s="149">
        <f t="shared" si="38"/>
        <v>6665.057229</v>
      </c>
      <c r="AE44" s="101">
        <f t="shared" si="49"/>
        <v>0</v>
      </c>
      <c r="AF44" s="101">
        <v>0</v>
      </c>
      <c r="AG44" s="101"/>
      <c r="AH44" s="101">
        <f t="shared" si="50"/>
        <v>6665.057229</v>
      </c>
      <c r="AI44" s="101">
        <v>6665.057229</v>
      </c>
      <c r="AJ44" s="101"/>
      <c r="AK44" s="101">
        <f t="shared" si="51"/>
        <v>22142.549107999999</v>
      </c>
      <c r="AL44" s="101">
        <f t="shared" si="52"/>
        <v>16797.438999999998</v>
      </c>
      <c r="AM44" s="309">
        <v>16797.438999999998</v>
      </c>
      <c r="AN44" s="101"/>
      <c r="AO44" s="101">
        <f t="shared" si="53"/>
        <v>5345.1101079999999</v>
      </c>
      <c r="AP44" s="101">
        <v>5345.1101079999999</v>
      </c>
      <c r="AQ44" s="101">
        <v>0</v>
      </c>
      <c r="AR44" s="101">
        <f t="shared" si="54"/>
        <v>61037.571029999999</v>
      </c>
      <c r="AS44" s="101">
        <f t="shared" si="55"/>
        <v>47404.717250000002</v>
      </c>
      <c r="AT44" s="309">
        <v>47404.717250000002</v>
      </c>
      <c r="AU44" s="101"/>
      <c r="AV44" s="101">
        <f t="shared" si="56"/>
        <v>13632.853779999999</v>
      </c>
      <c r="AW44" s="101">
        <v>13632.853779999999</v>
      </c>
      <c r="AX44" s="101">
        <v>0</v>
      </c>
      <c r="AY44" s="310">
        <f t="shared" ref="AY44:BN51" si="57">AA44/C44</f>
        <v>1.0978954635848179</v>
      </c>
      <c r="AZ44" s="310">
        <f t="shared" si="57"/>
        <v>1.6455340437256509</v>
      </c>
      <c r="BA44" s="310">
        <f t="shared" si="57"/>
        <v>0.59888414024475689</v>
      </c>
      <c r="BB44" s="310">
        <f t="shared" si="57"/>
        <v>0.81890370180611871</v>
      </c>
      <c r="BC44" s="310"/>
      <c r="BD44" s="310"/>
      <c r="BE44" s="310"/>
      <c r="BF44" s="310">
        <f t="shared" si="57"/>
        <v>0.81890370180611871</v>
      </c>
      <c r="BG44" s="310">
        <f t="shared" si="57"/>
        <v>0.81890370180611871</v>
      </c>
      <c r="BH44" s="310"/>
      <c r="BI44" s="310">
        <f t="shared" si="57"/>
        <v>2.9503729657561624</v>
      </c>
      <c r="BJ44" s="310">
        <f t="shared" si="57"/>
        <v>3.3736571600723035</v>
      </c>
      <c r="BK44" s="310">
        <f t="shared" si="57"/>
        <v>3.3736571600723035</v>
      </c>
      <c r="BL44" s="310"/>
      <c r="BM44" s="310">
        <f t="shared" si="57"/>
        <v>2.1160372557403009</v>
      </c>
      <c r="BN44" s="310">
        <f t="shared" si="57"/>
        <v>2.1160372557403009</v>
      </c>
      <c r="BO44" s="310"/>
      <c r="BQ44" s="303"/>
    </row>
    <row r="45" spans="1:69" x14ac:dyDescent="0.25">
      <c r="A45" s="123">
        <v>4</v>
      </c>
      <c r="B45" s="124" t="s">
        <v>136</v>
      </c>
      <c r="C45" s="100">
        <f t="shared" si="39"/>
        <v>93853</v>
      </c>
      <c r="D45" s="101">
        <f t="shared" si="33"/>
        <v>57341</v>
      </c>
      <c r="E45" s="101">
        <f t="shared" si="34"/>
        <v>36512</v>
      </c>
      <c r="F45" s="101">
        <f t="shared" si="40"/>
        <v>6264</v>
      </c>
      <c r="G45" s="101">
        <f t="shared" si="41"/>
        <v>0</v>
      </c>
      <c r="H45" s="101"/>
      <c r="I45" s="101"/>
      <c r="J45" s="101">
        <f t="shared" si="42"/>
        <v>6264</v>
      </c>
      <c r="K45" s="101">
        <v>6264</v>
      </c>
      <c r="L45" s="101"/>
      <c r="M45" s="101">
        <f t="shared" si="43"/>
        <v>30793</v>
      </c>
      <c r="N45" s="101">
        <f t="shared" si="44"/>
        <v>28366</v>
      </c>
      <c r="O45" s="101">
        <v>28366</v>
      </c>
      <c r="P45" s="101"/>
      <c r="Q45" s="101">
        <f t="shared" si="45"/>
        <v>2427</v>
      </c>
      <c r="R45" s="101">
        <f>2395+32</f>
        <v>2427</v>
      </c>
      <c r="S45" s="101"/>
      <c r="T45" s="101">
        <f t="shared" si="46"/>
        <v>56796</v>
      </c>
      <c r="U45" s="101">
        <f t="shared" si="47"/>
        <v>28975</v>
      </c>
      <c r="V45" s="101">
        <f>16975+12000</f>
        <v>28975</v>
      </c>
      <c r="W45" s="101"/>
      <c r="X45" s="101">
        <f t="shared" si="48"/>
        <v>27821</v>
      </c>
      <c r="Y45" s="101">
        <f>19625+8196</f>
        <v>27821</v>
      </c>
      <c r="Z45" s="101"/>
      <c r="AA45" s="308">
        <f t="shared" si="35"/>
        <v>80734.656013</v>
      </c>
      <c r="AB45" s="149">
        <f t="shared" si="36"/>
        <v>63954.782380000004</v>
      </c>
      <c r="AC45" s="149">
        <f t="shared" si="37"/>
        <v>16779.873633000003</v>
      </c>
      <c r="AD45" s="149">
        <f t="shared" si="38"/>
        <v>5145.9838390000004</v>
      </c>
      <c r="AE45" s="101">
        <f t="shared" si="49"/>
        <v>0</v>
      </c>
      <c r="AF45" s="101">
        <v>0</v>
      </c>
      <c r="AG45" s="101"/>
      <c r="AH45" s="101">
        <f t="shared" si="50"/>
        <v>5145.9838390000004</v>
      </c>
      <c r="AI45" s="101">
        <v>5145.9838390000004</v>
      </c>
      <c r="AJ45" s="101"/>
      <c r="AK45" s="101">
        <f t="shared" si="51"/>
        <v>35807.147391000006</v>
      </c>
      <c r="AL45" s="101">
        <f t="shared" si="52"/>
        <v>31207.119380000004</v>
      </c>
      <c r="AM45" s="309">
        <v>31207.119380000004</v>
      </c>
      <c r="AN45" s="101"/>
      <c r="AO45" s="101">
        <f t="shared" si="53"/>
        <v>4600.0280110000003</v>
      </c>
      <c r="AP45" s="101">
        <v>4600.0280110000003</v>
      </c>
      <c r="AQ45" s="101"/>
      <c r="AR45" s="101">
        <f t="shared" si="54"/>
        <v>39781.524783000001</v>
      </c>
      <c r="AS45" s="101">
        <f t="shared" si="55"/>
        <v>32747.663000000004</v>
      </c>
      <c r="AT45" s="309">
        <v>32747.663000000004</v>
      </c>
      <c r="AU45" s="101"/>
      <c r="AV45" s="101">
        <f t="shared" si="56"/>
        <v>7033.8617830000003</v>
      </c>
      <c r="AW45" s="101">
        <v>7033.8617830000003</v>
      </c>
      <c r="AX45" s="101"/>
      <c r="AY45" s="310">
        <f t="shared" si="57"/>
        <v>0.8602245640842594</v>
      </c>
      <c r="AZ45" s="310">
        <f t="shared" si="57"/>
        <v>1.1153412458799115</v>
      </c>
      <c r="BA45" s="310">
        <f t="shared" si="57"/>
        <v>0.45957147329645054</v>
      </c>
      <c r="BB45" s="310">
        <f t="shared" si="57"/>
        <v>0.82151721567688385</v>
      </c>
      <c r="BC45" s="310"/>
      <c r="BD45" s="310"/>
      <c r="BE45" s="310"/>
      <c r="BF45" s="310">
        <f t="shared" si="57"/>
        <v>0.82151721567688385</v>
      </c>
      <c r="BG45" s="310">
        <f t="shared" si="57"/>
        <v>0.82151721567688385</v>
      </c>
      <c r="BH45" s="310"/>
      <c r="BI45" s="310">
        <f t="shared" si="57"/>
        <v>1.1628340009417726</v>
      </c>
      <c r="BJ45" s="310">
        <f t="shared" si="57"/>
        <v>1.1001593238383982</v>
      </c>
      <c r="BK45" s="310">
        <f t="shared" si="57"/>
        <v>1.1001593238383982</v>
      </c>
      <c r="BL45" s="310"/>
      <c r="BM45" s="310">
        <f t="shared" si="57"/>
        <v>1.8953555875566543</v>
      </c>
      <c r="BN45" s="310">
        <f t="shared" si="57"/>
        <v>1.8953555875566543</v>
      </c>
      <c r="BO45" s="310"/>
    </row>
    <row r="46" spans="1:69" x14ac:dyDescent="0.25">
      <c r="A46" s="123">
        <v>5</v>
      </c>
      <c r="B46" s="124" t="s">
        <v>422</v>
      </c>
      <c r="C46" s="100">
        <f t="shared" si="39"/>
        <v>212139</v>
      </c>
      <c r="D46" s="101">
        <f t="shared" si="33"/>
        <v>138181</v>
      </c>
      <c r="E46" s="101">
        <f t="shared" si="34"/>
        <v>73958</v>
      </c>
      <c r="F46" s="101">
        <f t="shared" si="40"/>
        <v>71972</v>
      </c>
      <c r="G46" s="101">
        <f t="shared" si="41"/>
        <v>42218</v>
      </c>
      <c r="H46" s="101">
        <v>42218</v>
      </c>
      <c r="I46" s="313"/>
      <c r="J46" s="101">
        <f t="shared" si="42"/>
        <v>29754</v>
      </c>
      <c r="K46" s="101">
        <v>29754</v>
      </c>
      <c r="L46" s="313"/>
      <c r="M46" s="101">
        <f t="shared" si="43"/>
        <v>13214</v>
      </c>
      <c r="N46" s="101">
        <f t="shared" si="44"/>
        <v>10000</v>
      </c>
      <c r="O46" s="101">
        <v>10000</v>
      </c>
      <c r="P46" s="313"/>
      <c r="Q46" s="101">
        <f t="shared" si="45"/>
        <v>3214</v>
      </c>
      <c r="R46" s="101">
        <f>3150+64</f>
        <v>3214</v>
      </c>
      <c r="S46" s="313"/>
      <c r="T46" s="101">
        <f t="shared" si="46"/>
        <v>126953</v>
      </c>
      <c r="U46" s="101">
        <f t="shared" si="47"/>
        <v>85963</v>
      </c>
      <c r="V46" s="101">
        <f>72674+4717+8572</f>
        <v>85963</v>
      </c>
      <c r="W46" s="313"/>
      <c r="X46" s="101">
        <f t="shared" si="48"/>
        <v>40990</v>
      </c>
      <c r="Y46" s="101">
        <f>34223+2711+4056</f>
        <v>40990</v>
      </c>
      <c r="Z46" s="313"/>
      <c r="AA46" s="308">
        <f t="shared" si="35"/>
        <v>216905.61502899998</v>
      </c>
      <c r="AB46" s="149">
        <f t="shared" si="36"/>
        <v>164174.13581099999</v>
      </c>
      <c r="AC46" s="149">
        <f t="shared" si="37"/>
        <v>52731.479218</v>
      </c>
      <c r="AD46" s="149">
        <f t="shared" si="38"/>
        <v>80359.262109000003</v>
      </c>
      <c r="AE46" s="101">
        <f t="shared" si="49"/>
        <v>53726.426862</v>
      </c>
      <c r="AF46" s="101">
        <v>53726.426862</v>
      </c>
      <c r="AG46" s="313"/>
      <c r="AH46" s="101">
        <f t="shared" si="50"/>
        <v>26632.835246999999</v>
      </c>
      <c r="AI46" s="313">
        <v>26632.835246999999</v>
      </c>
      <c r="AJ46" s="313"/>
      <c r="AK46" s="101">
        <f t="shared" si="51"/>
        <v>20980.327656000001</v>
      </c>
      <c r="AL46" s="101">
        <f t="shared" si="52"/>
        <v>17033.356500000002</v>
      </c>
      <c r="AM46" s="309">
        <v>17033.356500000002</v>
      </c>
      <c r="AN46" s="313"/>
      <c r="AO46" s="101">
        <f t="shared" si="53"/>
        <v>3946.9711560000001</v>
      </c>
      <c r="AP46" s="313">
        <v>3946.9711560000001</v>
      </c>
      <c r="AQ46" s="313"/>
      <c r="AR46" s="101">
        <f t="shared" si="54"/>
        <v>115566.025264</v>
      </c>
      <c r="AS46" s="101">
        <f t="shared" si="55"/>
        <v>93414.352448999998</v>
      </c>
      <c r="AT46" s="309">
        <v>93414.352448999998</v>
      </c>
      <c r="AU46" s="313"/>
      <c r="AV46" s="101">
        <f t="shared" si="56"/>
        <v>22151.672815000002</v>
      </c>
      <c r="AW46" s="313">
        <v>22151.672815000002</v>
      </c>
      <c r="AX46" s="313"/>
      <c r="AY46" s="310">
        <f t="shared" si="57"/>
        <v>1.0224693009253365</v>
      </c>
      <c r="AZ46" s="310">
        <f t="shared" si="57"/>
        <v>1.1881093334901325</v>
      </c>
      <c r="BA46" s="310">
        <f t="shared" si="57"/>
        <v>0.71299222826469077</v>
      </c>
      <c r="BB46" s="310">
        <f t="shared" si="57"/>
        <v>1.1165350707080532</v>
      </c>
      <c r="BC46" s="310">
        <f t="shared" si="57"/>
        <v>1.2725952641527312</v>
      </c>
      <c r="BD46" s="310">
        <f t="shared" si="57"/>
        <v>1.2725952641527312</v>
      </c>
      <c r="BE46" s="310"/>
      <c r="BF46" s="310">
        <f t="shared" si="57"/>
        <v>0.89510100312563012</v>
      </c>
      <c r="BG46" s="310">
        <f t="shared" si="57"/>
        <v>0.89510100312563012</v>
      </c>
      <c r="BH46" s="310"/>
      <c r="BI46" s="310">
        <f t="shared" si="57"/>
        <v>1.5877348006659604</v>
      </c>
      <c r="BJ46" s="310">
        <f t="shared" si="57"/>
        <v>1.7033356500000001</v>
      </c>
      <c r="BK46" s="310">
        <f t="shared" si="57"/>
        <v>1.7033356500000001</v>
      </c>
      <c r="BL46" s="310"/>
      <c r="BM46" s="310">
        <f t="shared" si="57"/>
        <v>1.2280557423771001</v>
      </c>
      <c r="BN46" s="310">
        <f t="shared" si="57"/>
        <v>1.2280557423771001</v>
      </c>
      <c r="BO46" s="310"/>
    </row>
    <row r="47" spans="1:69" x14ac:dyDescent="0.25">
      <c r="A47" s="123">
        <v>6</v>
      </c>
      <c r="B47" s="124" t="s">
        <v>147</v>
      </c>
      <c r="C47" s="100">
        <f t="shared" si="39"/>
        <v>113866</v>
      </c>
      <c r="D47" s="101">
        <f t="shared" si="33"/>
        <v>68140</v>
      </c>
      <c r="E47" s="101">
        <f t="shared" si="34"/>
        <v>45726</v>
      </c>
      <c r="F47" s="101">
        <f t="shared" si="40"/>
        <v>11011</v>
      </c>
      <c r="G47" s="101">
        <f t="shared" si="41"/>
        <v>0</v>
      </c>
      <c r="H47" s="101"/>
      <c r="I47" s="313"/>
      <c r="J47" s="101">
        <f t="shared" si="42"/>
        <v>11011</v>
      </c>
      <c r="K47" s="101">
        <v>11011</v>
      </c>
      <c r="L47" s="313"/>
      <c r="M47" s="101">
        <f t="shared" si="43"/>
        <v>5853</v>
      </c>
      <c r="N47" s="101">
        <f t="shared" si="44"/>
        <v>3039</v>
      </c>
      <c r="O47" s="101">
        <v>3039</v>
      </c>
      <c r="P47" s="313"/>
      <c r="Q47" s="101">
        <f t="shared" si="45"/>
        <v>2814</v>
      </c>
      <c r="R47" s="101">
        <f>2750+64</f>
        <v>2814</v>
      </c>
      <c r="S47" s="313"/>
      <c r="T47" s="101">
        <f t="shared" si="46"/>
        <v>97002</v>
      </c>
      <c r="U47" s="101">
        <f t="shared" si="47"/>
        <v>65101</v>
      </c>
      <c r="V47" s="101">
        <f>65226-54-71</f>
        <v>65101</v>
      </c>
      <c r="W47" s="313"/>
      <c r="X47" s="101">
        <f t="shared" si="48"/>
        <v>31901</v>
      </c>
      <c r="Y47" s="101">
        <f>30196-2711+4416</f>
        <v>31901</v>
      </c>
      <c r="Z47" s="313"/>
      <c r="AA47" s="308">
        <f t="shared" si="35"/>
        <v>121346.62082699999</v>
      </c>
      <c r="AB47" s="149">
        <f t="shared" si="36"/>
        <v>96926.955042999994</v>
      </c>
      <c r="AC47" s="149">
        <f t="shared" si="37"/>
        <v>24419.665784000001</v>
      </c>
      <c r="AD47" s="149">
        <f t="shared" si="38"/>
        <v>5131.2860899999996</v>
      </c>
      <c r="AE47" s="101">
        <f t="shared" si="49"/>
        <v>0</v>
      </c>
      <c r="AF47" s="101">
        <v>0</v>
      </c>
      <c r="AG47" s="313"/>
      <c r="AH47" s="101">
        <f t="shared" si="50"/>
        <v>5131.2860899999996</v>
      </c>
      <c r="AI47" s="313">
        <v>5131.2860899999996</v>
      </c>
      <c r="AJ47" s="313"/>
      <c r="AK47" s="101">
        <f t="shared" si="51"/>
        <v>14912.162471</v>
      </c>
      <c r="AL47" s="101">
        <f t="shared" si="52"/>
        <v>11898.254199999999</v>
      </c>
      <c r="AM47" s="309">
        <v>11898.254199999999</v>
      </c>
      <c r="AN47" s="313"/>
      <c r="AO47" s="101">
        <f t="shared" si="53"/>
        <v>3013.9082709999998</v>
      </c>
      <c r="AP47" s="313">
        <v>3013.9082709999998</v>
      </c>
      <c r="AQ47" s="313"/>
      <c r="AR47" s="101">
        <f t="shared" si="54"/>
        <v>101303.17226599999</v>
      </c>
      <c r="AS47" s="101">
        <f t="shared" si="55"/>
        <v>85028.700842999999</v>
      </c>
      <c r="AT47" s="309">
        <v>85028.700842999999</v>
      </c>
      <c r="AU47" s="313"/>
      <c r="AV47" s="101">
        <f t="shared" si="56"/>
        <v>16274.471423000001</v>
      </c>
      <c r="AW47" s="313">
        <v>16274.471423000001</v>
      </c>
      <c r="AX47" s="313"/>
      <c r="AY47" s="310">
        <f t="shared" si="57"/>
        <v>1.0656967033794109</v>
      </c>
      <c r="AZ47" s="310">
        <f t="shared" si="57"/>
        <v>1.422467787540358</v>
      </c>
      <c r="BA47" s="310">
        <f t="shared" si="57"/>
        <v>0.53404334041901769</v>
      </c>
      <c r="BB47" s="310">
        <f t="shared" si="57"/>
        <v>0.46601453909726631</v>
      </c>
      <c r="BC47" s="310"/>
      <c r="BD47" s="310"/>
      <c r="BE47" s="310"/>
      <c r="BF47" s="310">
        <f t="shared" si="57"/>
        <v>0.46601453909726631</v>
      </c>
      <c r="BG47" s="310">
        <f t="shared" si="57"/>
        <v>0.46601453909726631</v>
      </c>
      <c r="BH47" s="310"/>
      <c r="BI47" s="310">
        <f t="shared" si="57"/>
        <v>2.54778104749701</v>
      </c>
      <c r="BJ47" s="310">
        <f t="shared" si="57"/>
        <v>3.9151872984534384</v>
      </c>
      <c r="BK47" s="310">
        <f t="shared" si="57"/>
        <v>3.9151872984534384</v>
      </c>
      <c r="BL47" s="310"/>
      <c r="BM47" s="310">
        <f t="shared" si="57"/>
        <v>1.0710406080312722</v>
      </c>
      <c r="BN47" s="310">
        <f t="shared" si="57"/>
        <v>1.0710406080312722</v>
      </c>
      <c r="BO47" s="310"/>
    </row>
    <row r="48" spans="1:69" x14ac:dyDescent="0.25">
      <c r="A48" s="123">
        <v>7</v>
      </c>
      <c r="B48" s="124" t="s">
        <v>164</v>
      </c>
      <c r="C48" s="100">
        <f t="shared" si="39"/>
        <v>81275</v>
      </c>
      <c r="D48" s="101">
        <f t="shared" si="33"/>
        <v>40695</v>
      </c>
      <c r="E48" s="101">
        <f t="shared" si="34"/>
        <v>40580</v>
      </c>
      <c r="F48" s="101">
        <f t="shared" si="40"/>
        <v>11696</v>
      </c>
      <c r="G48" s="101">
        <f t="shared" si="41"/>
        <v>0</v>
      </c>
      <c r="H48" s="101"/>
      <c r="I48" s="313"/>
      <c r="J48" s="101">
        <f t="shared" si="42"/>
        <v>11696</v>
      </c>
      <c r="K48" s="101">
        <v>11696</v>
      </c>
      <c r="L48" s="313"/>
      <c r="M48" s="101">
        <f t="shared" si="43"/>
        <v>7406</v>
      </c>
      <c r="N48" s="101">
        <f t="shared" si="44"/>
        <v>4052</v>
      </c>
      <c r="O48" s="101">
        <v>4052</v>
      </c>
      <c r="P48" s="313"/>
      <c r="Q48" s="101">
        <f t="shared" si="45"/>
        <v>3354</v>
      </c>
      <c r="R48" s="101">
        <f>3290+64</f>
        <v>3354</v>
      </c>
      <c r="S48" s="313"/>
      <c r="T48" s="101">
        <f t="shared" si="46"/>
        <v>62173</v>
      </c>
      <c r="U48" s="101">
        <f t="shared" si="47"/>
        <v>36643</v>
      </c>
      <c r="V48" s="101">
        <v>36643</v>
      </c>
      <c r="W48" s="313"/>
      <c r="X48" s="101">
        <f t="shared" si="48"/>
        <v>25530</v>
      </c>
      <c r="Y48" s="101">
        <f>21342+4188</f>
        <v>25530</v>
      </c>
      <c r="Z48" s="313"/>
      <c r="AA48" s="308">
        <f t="shared" si="35"/>
        <v>97656.515589999995</v>
      </c>
      <c r="AB48" s="149">
        <f t="shared" si="36"/>
        <v>60918.336609999998</v>
      </c>
      <c r="AC48" s="149">
        <f t="shared" si="37"/>
        <v>36738.178980000004</v>
      </c>
      <c r="AD48" s="149">
        <f t="shared" si="38"/>
        <v>11683.865601</v>
      </c>
      <c r="AE48" s="101">
        <f t="shared" si="49"/>
        <v>0</v>
      </c>
      <c r="AF48" s="101">
        <v>0</v>
      </c>
      <c r="AG48" s="313"/>
      <c r="AH48" s="101">
        <f t="shared" si="50"/>
        <v>11683.865601</v>
      </c>
      <c r="AI48" s="313">
        <v>11683.865601</v>
      </c>
      <c r="AJ48" s="313"/>
      <c r="AK48" s="101">
        <f t="shared" si="51"/>
        <v>19040.983544999999</v>
      </c>
      <c r="AL48" s="101">
        <f t="shared" si="52"/>
        <v>13543.622334</v>
      </c>
      <c r="AM48" s="309">
        <v>13543.622334</v>
      </c>
      <c r="AN48" s="313"/>
      <c r="AO48" s="101">
        <f t="shared" si="53"/>
        <v>5497.3612110000004</v>
      </c>
      <c r="AP48" s="313">
        <v>5497.3612110000004</v>
      </c>
      <c r="AQ48" s="313"/>
      <c r="AR48" s="101">
        <f t="shared" si="54"/>
        <v>66931.666444000002</v>
      </c>
      <c r="AS48" s="101">
        <f t="shared" si="55"/>
        <v>47374.714275999999</v>
      </c>
      <c r="AT48" s="309">
        <v>47374.714275999999</v>
      </c>
      <c r="AU48" s="313"/>
      <c r="AV48" s="101">
        <f t="shared" si="56"/>
        <v>19556.952168</v>
      </c>
      <c r="AW48" s="313">
        <v>19556.952168</v>
      </c>
      <c r="AX48" s="313"/>
      <c r="AY48" s="310">
        <f t="shared" si="57"/>
        <v>1.2015566359889265</v>
      </c>
      <c r="AZ48" s="310">
        <f t="shared" si="57"/>
        <v>1.4969489276323873</v>
      </c>
      <c r="BA48" s="310">
        <f t="shared" si="57"/>
        <v>0.90532722966978818</v>
      </c>
      <c r="BB48" s="310">
        <f t="shared" si="57"/>
        <v>0.99896251718536244</v>
      </c>
      <c r="BC48" s="310"/>
      <c r="BD48" s="310"/>
      <c r="BE48" s="310"/>
      <c r="BF48" s="310">
        <f t="shared" si="57"/>
        <v>0.99896251718536244</v>
      </c>
      <c r="BG48" s="310">
        <f t="shared" si="57"/>
        <v>0.99896251718536244</v>
      </c>
      <c r="BH48" s="310"/>
      <c r="BI48" s="310">
        <f t="shared" si="57"/>
        <v>2.5710212726167971</v>
      </c>
      <c r="BJ48" s="310">
        <f t="shared" si="57"/>
        <v>3.3424536855873641</v>
      </c>
      <c r="BK48" s="310">
        <f t="shared" si="57"/>
        <v>3.3424536855873641</v>
      </c>
      <c r="BL48" s="310"/>
      <c r="BM48" s="310">
        <f t="shared" si="57"/>
        <v>1.6390462763864044</v>
      </c>
      <c r="BN48" s="310">
        <f t="shared" si="57"/>
        <v>1.6390462763864044</v>
      </c>
      <c r="BO48" s="310"/>
    </row>
    <row r="49" spans="1:69" x14ac:dyDescent="0.25">
      <c r="A49" s="123">
        <v>8</v>
      </c>
      <c r="B49" s="124" t="s">
        <v>132</v>
      </c>
      <c r="C49" s="100">
        <f t="shared" si="39"/>
        <v>76392</v>
      </c>
      <c r="D49" s="101">
        <f t="shared" si="33"/>
        <v>50046</v>
      </c>
      <c r="E49" s="101">
        <f t="shared" si="34"/>
        <v>26346</v>
      </c>
      <c r="F49" s="101">
        <f t="shared" si="40"/>
        <v>7853</v>
      </c>
      <c r="G49" s="101">
        <f t="shared" si="41"/>
        <v>0</v>
      </c>
      <c r="H49" s="101"/>
      <c r="I49" s="313"/>
      <c r="J49" s="101">
        <f t="shared" si="42"/>
        <v>7853</v>
      </c>
      <c r="K49" s="101">
        <v>7853</v>
      </c>
      <c r="L49" s="313"/>
      <c r="M49" s="101">
        <f t="shared" si="43"/>
        <v>26876</v>
      </c>
      <c r="N49" s="101">
        <f t="shared" si="44"/>
        <v>24314</v>
      </c>
      <c r="O49" s="101">
        <v>24314</v>
      </c>
      <c r="P49" s="313"/>
      <c r="Q49" s="101">
        <f t="shared" si="45"/>
        <v>2562</v>
      </c>
      <c r="R49" s="101">
        <f>2530+32</f>
        <v>2562</v>
      </c>
      <c r="S49" s="313"/>
      <c r="T49" s="101">
        <f t="shared" si="46"/>
        <v>41663</v>
      </c>
      <c r="U49" s="101">
        <f t="shared" si="47"/>
        <v>25732</v>
      </c>
      <c r="V49" s="101">
        <f>25361-287+658</f>
        <v>25732</v>
      </c>
      <c r="W49" s="313"/>
      <c r="X49" s="101">
        <f t="shared" si="48"/>
        <v>15931</v>
      </c>
      <c r="Y49" s="101">
        <f>15279+652</f>
        <v>15931</v>
      </c>
      <c r="Z49" s="313"/>
      <c r="AA49" s="308">
        <f t="shared" si="35"/>
        <v>96273.353850999993</v>
      </c>
      <c r="AB49" s="149">
        <f t="shared" si="36"/>
        <v>65826.030366999999</v>
      </c>
      <c r="AC49" s="149">
        <f t="shared" si="37"/>
        <v>30447.323484</v>
      </c>
      <c r="AD49" s="149">
        <f t="shared" si="38"/>
        <v>6930.7279900000003</v>
      </c>
      <c r="AE49" s="101">
        <f t="shared" si="49"/>
        <v>0</v>
      </c>
      <c r="AF49" s="101">
        <v>0</v>
      </c>
      <c r="AG49" s="313"/>
      <c r="AH49" s="101">
        <f t="shared" si="50"/>
        <v>6930.7279900000003</v>
      </c>
      <c r="AI49" s="313">
        <v>6930.7279900000003</v>
      </c>
      <c r="AJ49" s="313"/>
      <c r="AK49" s="101">
        <f t="shared" si="51"/>
        <v>45451.291363999997</v>
      </c>
      <c r="AL49" s="101">
        <f t="shared" si="52"/>
        <v>35217.653101999997</v>
      </c>
      <c r="AM49" s="309">
        <v>35217.653101999997</v>
      </c>
      <c r="AN49" s="313"/>
      <c r="AO49" s="101">
        <f t="shared" si="53"/>
        <v>10233.638262</v>
      </c>
      <c r="AP49" s="313">
        <v>10233.638262</v>
      </c>
      <c r="AQ49" s="313"/>
      <c r="AR49" s="101">
        <f t="shared" si="54"/>
        <v>43891.334497000003</v>
      </c>
      <c r="AS49" s="101">
        <f t="shared" si="55"/>
        <v>30608.377264999999</v>
      </c>
      <c r="AT49" s="309">
        <v>30608.377264999999</v>
      </c>
      <c r="AU49" s="313"/>
      <c r="AV49" s="101">
        <f t="shared" si="56"/>
        <v>13282.957232000001</v>
      </c>
      <c r="AW49" s="313">
        <v>13282.957232000001</v>
      </c>
      <c r="AX49" s="313"/>
      <c r="AY49" s="310">
        <f t="shared" si="57"/>
        <v>1.260254396415855</v>
      </c>
      <c r="AZ49" s="310">
        <f t="shared" si="57"/>
        <v>1.3153105216600727</v>
      </c>
      <c r="BA49" s="310">
        <f t="shared" si="57"/>
        <v>1.1556715814165339</v>
      </c>
      <c r="BB49" s="310">
        <f t="shared" si="57"/>
        <v>0.88255800203743795</v>
      </c>
      <c r="BC49" s="310"/>
      <c r="BD49" s="310"/>
      <c r="BE49" s="310"/>
      <c r="BF49" s="310">
        <f t="shared" si="57"/>
        <v>0.88255800203743795</v>
      </c>
      <c r="BG49" s="310">
        <f t="shared" si="57"/>
        <v>0.88255800203743795</v>
      </c>
      <c r="BH49" s="310"/>
      <c r="BI49" s="310">
        <f t="shared" si="57"/>
        <v>1.6911479150171156</v>
      </c>
      <c r="BJ49" s="310">
        <f t="shared" si="57"/>
        <v>1.4484516369992595</v>
      </c>
      <c r="BK49" s="310">
        <f t="shared" si="57"/>
        <v>1.4484516369992595</v>
      </c>
      <c r="BL49" s="310"/>
      <c r="BM49" s="310">
        <f t="shared" si="57"/>
        <v>3.9943943255269323</v>
      </c>
      <c r="BN49" s="310">
        <f t="shared" si="57"/>
        <v>3.9943943255269323</v>
      </c>
      <c r="BO49" s="310"/>
      <c r="BQ49" s="303"/>
    </row>
    <row r="50" spans="1:69" x14ac:dyDescent="0.25">
      <c r="A50" s="123">
        <v>9</v>
      </c>
      <c r="B50" s="124" t="s">
        <v>163</v>
      </c>
      <c r="C50" s="100">
        <f t="shared" si="39"/>
        <v>128460</v>
      </c>
      <c r="D50" s="101">
        <f t="shared" si="33"/>
        <v>84127</v>
      </c>
      <c r="E50" s="101">
        <f t="shared" si="34"/>
        <v>44333</v>
      </c>
      <c r="F50" s="101">
        <f t="shared" si="40"/>
        <v>59784</v>
      </c>
      <c r="G50" s="101">
        <f t="shared" si="41"/>
        <v>38897</v>
      </c>
      <c r="H50" s="101">
        <v>38897</v>
      </c>
      <c r="I50" s="313"/>
      <c r="J50" s="101">
        <f t="shared" si="42"/>
        <v>20887</v>
      </c>
      <c r="K50" s="101">
        <v>20887</v>
      </c>
      <c r="L50" s="313"/>
      <c r="M50" s="101">
        <f t="shared" si="43"/>
        <v>6447</v>
      </c>
      <c r="N50" s="101">
        <f t="shared" si="44"/>
        <v>3039</v>
      </c>
      <c r="O50" s="101">
        <v>3039</v>
      </c>
      <c r="P50" s="313"/>
      <c r="Q50" s="101">
        <f t="shared" si="45"/>
        <v>3408</v>
      </c>
      <c r="R50" s="101">
        <f>3280+128</f>
        <v>3408</v>
      </c>
      <c r="S50" s="313"/>
      <c r="T50" s="101">
        <f t="shared" si="46"/>
        <v>62229</v>
      </c>
      <c r="U50" s="101">
        <f t="shared" si="47"/>
        <v>42191</v>
      </c>
      <c r="V50" s="101">
        <f>42556-365</f>
        <v>42191</v>
      </c>
      <c r="W50" s="313"/>
      <c r="X50" s="101">
        <f t="shared" si="48"/>
        <v>20038</v>
      </c>
      <c r="Y50" s="101">
        <f>17183+2855</f>
        <v>20038</v>
      </c>
      <c r="Z50" s="313"/>
      <c r="AA50" s="308">
        <f t="shared" si="35"/>
        <v>208983.99477599998</v>
      </c>
      <c r="AB50" s="149">
        <f t="shared" si="36"/>
        <v>166201.46375599998</v>
      </c>
      <c r="AC50" s="149">
        <f t="shared" si="37"/>
        <v>42782.531020000002</v>
      </c>
      <c r="AD50" s="149">
        <f t="shared" si="38"/>
        <v>110215.05370399999</v>
      </c>
      <c r="AE50" s="101">
        <f t="shared" si="49"/>
        <v>87851.541563999999</v>
      </c>
      <c r="AF50" s="101">
        <v>87851.541563999999</v>
      </c>
      <c r="AG50" s="313"/>
      <c r="AH50" s="101">
        <f t="shared" si="50"/>
        <v>22363.512139999999</v>
      </c>
      <c r="AI50" s="313">
        <v>22363.512139999999</v>
      </c>
      <c r="AJ50" s="313"/>
      <c r="AK50" s="101">
        <f t="shared" si="51"/>
        <v>31392.907411</v>
      </c>
      <c r="AL50" s="101">
        <f t="shared" si="52"/>
        <v>25617.333631000001</v>
      </c>
      <c r="AM50" s="309">
        <v>25617.333631000001</v>
      </c>
      <c r="AN50" s="313"/>
      <c r="AO50" s="101">
        <f t="shared" si="53"/>
        <v>5775.5737799999997</v>
      </c>
      <c r="AP50" s="313">
        <v>5775.5737799999997</v>
      </c>
      <c r="AQ50" s="313"/>
      <c r="AR50" s="101">
        <f t="shared" si="54"/>
        <v>67376.033660999994</v>
      </c>
      <c r="AS50" s="101">
        <f t="shared" si="55"/>
        <v>52732.588560999997</v>
      </c>
      <c r="AT50" s="309">
        <v>52732.588560999997</v>
      </c>
      <c r="AU50" s="313"/>
      <c r="AV50" s="101">
        <f t="shared" si="56"/>
        <v>14643.445100000001</v>
      </c>
      <c r="AW50" s="313">
        <v>14643.445100000001</v>
      </c>
      <c r="AX50" s="313"/>
      <c r="AY50" s="310">
        <f t="shared" si="57"/>
        <v>1.6268409993460997</v>
      </c>
      <c r="AZ50" s="310">
        <f t="shared" si="57"/>
        <v>1.9756019322690692</v>
      </c>
      <c r="BA50" s="310">
        <f t="shared" si="57"/>
        <v>0.96502675253197401</v>
      </c>
      <c r="BB50" s="310">
        <f t="shared" si="57"/>
        <v>1.8435543574200453</v>
      </c>
      <c r="BC50" s="310">
        <f t="shared" si="57"/>
        <v>2.258568567344525</v>
      </c>
      <c r="BD50" s="310">
        <f t="shared" si="57"/>
        <v>2.258568567344525</v>
      </c>
      <c r="BE50" s="310"/>
      <c r="BF50" s="310">
        <f t="shared" si="57"/>
        <v>1.0706904840331306</v>
      </c>
      <c r="BG50" s="310">
        <f t="shared" si="57"/>
        <v>1.0706904840331306</v>
      </c>
      <c r="BH50" s="310"/>
      <c r="BI50" s="310">
        <f t="shared" si="57"/>
        <v>4.8693822570187688</v>
      </c>
      <c r="BJ50" s="310">
        <f t="shared" si="57"/>
        <v>8.429527354721948</v>
      </c>
      <c r="BK50" s="310">
        <f t="shared" si="57"/>
        <v>8.429527354721948</v>
      </c>
      <c r="BL50" s="310"/>
      <c r="BM50" s="310">
        <f t="shared" si="57"/>
        <v>1.694710616197183</v>
      </c>
      <c r="BN50" s="310">
        <f t="shared" si="57"/>
        <v>1.694710616197183</v>
      </c>
      <c r="BO50" s="310"/>
      <c r="BQ50" s="303"/>
    </row>
    <row r="51" spans="1:69" x14ac:dyDescent="0.25">
      <c r="A51" s="123">
        <v>10</v>
      </c>
      <c r="B51" s="124" t="s">
        <v>149</v>
      </c>
      <c r="C51" s="100">
        <f t="shared" si="39"/>
        <v>118127</v>
      </c>
      <c r="D51" s="101">
        <f t="shared" si="33"/>
        <v>70149</v>
      </c>
      <c r="E51" s="101">
        <f t="shared" si="34"/>
        <v>47978</v>
      </c>
      <c r="F51" s="101">
        <f t="shared" si="40"/>
        <v>56263</v>
      </c>
      <c r="G51" s="101">
        <f t="shared" si="41"/>
        <v>40321</v>
      </c>
      <c r="H51" s="101">
        <v>40321</v>
      </c>
      <c r="I51" s="313"/>
      <c r="J51" s="101">
        <f t="shared" si="42"/>
        <v>15942</v>
      </c>
      <c r="K51" s="101">
        <v>15942</v>
      </c>
      <c r="L51" s="313"/>
      <c r="M51" s="101">
        <f t="shared" si="43"/>
        <v>2270</v>
      </c>
      <c r="N51" s="101">
        <f t="shared" si="44"/>
        <v>1013</v>
      </c>
      <c r="O51" s="101">
        <v>1013</v>
      </c>
      <c r="P51" s="313"/>
      <c r="Q51" s="101">
        <f t="shared" si="45"/>
        <v>1257</v>
      </c>
      <c r="R51" s="101">
        <f>1225+32</f>
        <v>1257</v>
      </c>
      <c r="S51" s="313"/>
      <c r="T51" s="101">
        <f t="shared" si="46"/>
        <v>59594</v>
      </c>
      <c r="U51" s="101">
        <f t="shared" si="47"/>
        <v>28815</v>
      </c>
      <c r="V51" s="101">
        <f>34027-6500+1288</f>
        <v>28815</v>
      </c>
      <c r="W51" s="313"/>
      <c r="X51" s="101">
        <f t="shared" si="48"/>
        <v>30779</v>
      </c>
      <c r="Y51" s="101">
        <f>21553+9226</f>
        <v>30779</v>
      </c>
      <c r="Z51" s="313"/>
      <c r="AA51" s="308">
        <f t="shared" si="35"/>
        <v>97126.219161000001</v>
      </c>
      <c r="AB51" s="149">
        <f t="shared" si="36"/>
        <v>69258.469804000008</v>
      </c>
      <c r="AC51" s="149">
        <f t="shared" si="37"/>
        <v>27867.749356999997</v>
      </c>
      <c r="AD51" s="149">
        <f t="shared" si="38"/>
        <v>52999.232470999996</v>
      </c>
      <c r="AE51" s="101">
        <f t="shared" si="49"/>
        <v>34505.105927999997</v>
      </c>
      <c r="AF51" s="101">
        <v>34505.105927999997</v>
      </c>
      <c r="AG51" s="313"/>
      <c r="AH51" s="101">
        <f t="shared" si="50"/>
        <v>18494.126542999998</v>
      </c>
      <c r="AI51" s="313">
        <v>18494.126542999998</v>
      </c>
      <c r="AJ51" s="313"/>
      <c r="AK51" s="101">
        <f t="shared" si="51"/>
        <v>6054.0282499999994</v>
      </c>
      <c r="AL51" s="101">
        <f t="shared" si="52"/>
        <v>3854.547</v>
      </c>
      <c r="AM51" s="309">
        <v>3854.547</v>
      </c>
      <c r="AN51" s="313"/>
      <c r="AO51" s="149">
        <f t="shared" si="53"/>
        <v>2199.4812499999998</v>
      </c>
      <c r="AP51" s="313">
        <v>2199.4812499999998</v>
      </c>
      <c r="AQ51" s="313"/>
      <c r="AR51" s="101">
        <f t="shared" si="54"/>
        <v>38072.958440000002</v>
      </c>
      <c r="AS51" s="101">
        <f t="shared" si="55"/>
        <v>30898.816876000001</v>
      </c>
      <c r="AT51" s="309">
        <v>30898.816876000001</v>
      </c>
      <c r="AU51" s="313"/>
      <c r="AV51" s="149">
        <f t="shared" si="56"/>
        <v>7174.1415639999996</v>
      </c>
      <c r="AW51" s="313">
        <v>7174.1415639999996</v>
      </c>
      <c r="AX51" s="313"/>
      <c r="AY51" s="310">
        <f t="shared" si="57"/>
        <v>0.8222186220000508</v>
      </c>
      <c r="AZ51" s="310">
        <f t="shared" si="57"/>
        <v>0.98730516192675599</v>
      </c>
      <c r="BA51" s="310">
        <f t="shared" si="57"/>
        <v>0.58084433192296459</v>
      </c>
      <c r="BB51" s="310">
        <f t="shared" si="57"/>
        <v>0.94199087270497472</v>
      </c>
      <c r="BC51" s="310">
        <f t="shared" si="57"/>
        <v>0.85576017281317418</v>
      </c>
      <c r="BD51" s="310">
        <f t="shared" si="57"/>
        <v>0.85576017281317418</v>
      </c>
      <c r="BE51" s="310"/>
      <c r="BF51" s="310">
        <f t="shared" si="57"/>
        <v>1.1600882287667795</v>
      </c>
      <c r="BG51" s="310">
        <f t="shared" si="57"/>
        <v>1.1600882287667795</v>
      </c>
      <c r="BH51" s="310"/>
      <c r="BI51" s="310">
        <f t="shared" si="57"/>
        <v>2.666972797356828</v>
      </c>
      <c r="BJ51" s="310">
        <f t="shared" si="57"/>
        <v>3.8050809476801581</v>
      </c>
      <c r="BK51" s="310">
        <f t="shared" si="57"/>
        <v>3.8050809476801581</v>
      </c>
      <c r="BL51" s="310"/>
      <c r="BM51" s="310">
        <f t="shared" si="57"/>
        <v>1.749786197295147</v>
      </c>
      <c r="BN51" s="310">
        <f t="shared" si="57"/>
        <v>1.749786197295147</v>
      </c>
      <c r="BO51" s="310"/>
    </row>
    <row r="52" spans="1:69" ht="9" customHeight="1" x14ac:dyDescent="0.25">
      <c r="A52" s="314"/>
      <c r="B52" s="315"/>
      <c r="C52" s="102"/>
      <c r="D52" s="103"/>
      <c r="E52" s="103"/>
      <c r="F52" s="103"/>
      <c r="G52" s="103"/>
      <c r="H52" s="103"/>
      <c r="I52" s="103"/>
      <c r="J52" s="103"/>
      <c r="K52" s="103"/>
      <c r="L52" s="103"/>
      <c r="M52" s="103"/>
      <c r="N52" s="103"/>
      <c r="O52" s="103"/>
      <c r="P52" s="103"/>
      <c r="Q52" s="103"/>
      <c r="R52" s="103"/>
      <c r="S52" s="103"/>
      <c r="T52" s="103"/>
      <c r="U52" s="103"/>
      <c r="V52" s="103"/>
      <c r="W52" s="103"/>
      <c r="X52" s="103"/>
      <c r="Y52" s="103"/>
      <c r="Z52" s="103"/>
      <c r="AA52" s="102"/>
      <c r="AB52" s="103"/>
      <c r="AC52" s="103"/>
      <c r="AD52" s="103"/>
      <c r="AE52" s="103"/>
      <c r="AF52" s="103"/>
      <c r="AG52" s="103"/>
      <c r="AH52" s="103"/>
      <c r="AI52" s="103"/>
      <c r="AJ52" s="103"/>
      <c r="AK52" s="103"/>
      <c r="AL52" s="103"/>
      <c r="AM52" s="103"/>
      <c r="AN52" s="103"/>
      <c r="AO52" s="103"/>
      <c r="AP52" s="103"/>
      <c r="AQ52" s="103"/>
      <c r="AR52" s="103"/>
      <c r="AS52" s="103"/>
      <c r="AT52" s="103"/>
      <c r="AU52" s="103"/>
      <c r="AV52" s="103"/>
      <c r="AW52" s="103"/>
      <c r="AX52" s="103"/>
      <c r="AY52" s="316"/>
      <c r="AZ52" s="317"/>
      <c r="BA52" s="317"/>
      <c r="BB52" s="317"/>
      <c r="BC52" s="317"/>
      <c r="BD52" s="317"/>
      <c r="BE52" s="317"/>
      <c r="BF52" s="317"/>
      <c r="BG52" s="317"/>
      <c r="BH52" s="317"/>
      <c r="BI52" s="317"/>
      <c r="BJ52" s="317"/>
      <c r="BK52" s="317"/>
      <c r="BL52" s="317"/>
      <c r="BM52" s="317"/>
      <c r="BN52" s="317"/>
      <c r="BO52" s="317"/>
    </row>
  </sheetData>
  <mergeCells count="54">
    <mergeCell ref="A1:B1"/>
    <mergeCell ref="Q1:S1"/>
    <mergeCell ref="X1:Z1"/>
    <mergeCell ref="A3:BO3"/>
    <mergeCell ref="A4:BO4"/>
    <mergeCell ref="A7:A10"/>
    <mergeCell ref="B7:B10"/>
    <mergeCell ref="C7:Z7"/>
    <mergeCell ref="AA7:AX7"/>
    <mergeCell ref="AY7:BO7"/>
    <mergeCell ref="C8:C10"/>
    <mergeCell ref="D8:E8"/>
    <mergeCell ref="F8:L8"/>
    <mergeCell ref="M8:S8"/>
    <mergeCell ref="T8:Z8"/>
    <mergeCell ref="AZ8:BA8"/>
    <mergeCell ref="BB8:BH8"/>
    <mergeCell ref="BI8:BO8"/>
    <mergeCell ref="D9:D10"/>
    <mergeCell ref="E9:E10"/>
    <mergeCell ref="F9:F10"/>
    <mergeCell ref="G9:I9"/>
    <mergeCell ref="J9:L9"/>
    <mergeCell ref="M9:M10"/>
    <mergeCell ref="N9:P9"/>
    <mergeCell ref="AA8:AA10"/>
    <mergeCell ref="AB8:AC8"/>
    <mergeCell ref="AD8:AJ8"/>
    <mergeCell ref="AK8:AQ8"/>
    <mergeCell ref="AR8:AX8"/>
    <mergeCell ref="AY8:AY10"/>
    <mergeCell ref="AZ9:AZ10"/>
    <mergeCell ref="Q9:S9"/>
    <mergeCell ref="T9:T10"/>
    <mergeCell ref="U9:W9"/>
    <mergeCell ref="X9:Z9"/>
    <mergeCell ref="AB9:AB10"/>
    <mergeCell ref="AC9:AC10"/>
    <mergeCell ref="AD9:AD10"/>
    <mergeCell ref="AE9:AG9"/>
    <mergeCell ref="AH9:AJ9"/>
    <mergeCell ref="AK9:AK10"/>
    <mergeCell ref="AL9:AN9"/>
    <mergeCell ref="AO9:AQ9"/>
    <mergeCell ref="AR9:AR10"/>
    <mergeCell ref="AS9:AU9"/>
    <mergeCell ref="AV9:AX9"/>
    <mergeCell ref="BM9:BO9"/>
    <mergeCell ref="BA9:BA10"/>
    <mergeCell ref="BB9:BB10"/>
    <mergeCell ref="BC9:BE9"/>
    <mergeCell ref="BF9:BH9"/>
    <mergeCell ref="BI9:BI10"/>
    <mergeCell ref="BJ9:BL9"/>
  </mergeCells>
  <pageMargins left="0" right="0" top="0" bottom="0" header="0.31496062992125984" footer="0.31496062992125984"/>
  <pageSetup paperSize="9" scale="77"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0"/>
  </sheetPr>
  <dimension ref="A1:M109"/>
  <sheetViews>
    <sheetView workbookViewId="0">
      <selection activeCell="H21" sqref="H21"/>
    </sheetView>
  </sheetViews>
  <sheetFormatPr defaultColWidth="9.140625" defaultRowHeight="15" outlineLevelRow="1" x14ac:dyDescent="0.25"/>
  <cols>
    <col min="1" max="1" width="9.140625" style="105"/>
    <col min="2" max="2" width="38.140625" style="105" customWidth="1"/>
    <col min="3" max="3" width="11.85546875" style="105" customWidth="1"/>
    <col min="4" max="4" width="10.7109375" style="105" customWidth="1"/>
    <col min="5" max="5" width="11" style="105" customWidth="1"/>
    <col min="6" max="6" width="10" style="105" bestFit="1" customWidth="1"/>
    <col min="7" max="8" width="11.28515625" style="105" bestFit="1" customWidth="1"/>
    <col min="9" max="9" width="11.42578125" style="105" bestFit="1" customWidth="1"/>
    <col min="10" max="11" width="9.140625" style="105"/>
    <col min="12" max="12" width="11" style="141" customWidth="1"/>
    <col min="13" max="13" width="10.140625" style="105" bestFit="1" customWidth="1"/>
    <col min="14" max="16384" width="9.140625" style="105"/>
  </cols>
  <sheetData>
    <row r="1" spans="1:13" x14ac:dyDescent="0.25">
      <c r="A1" s="104" t="s">
        <v>487</v>
      </c>
      <c r="C1" s="117"/>
      <c r="D1" s="117"/>
      <c r="E1" s="117"/>
      <c r="F1" s="117"/>
      <c r="G1" s="117"/>
      <c r="H1" s="117"/>
    </row>
    <row r="2" spans="1:13" ht="33" customHeight="1" x14ac:dyDescent="0.25">
      <c r="A2" s="340" t="s">
        <v>488</v>
      </c>
      <c r="B2" s="340"/>
      <c r="C2" s="340"/>
      <c r="D2" s="340"/>
      <c r="E2" s="340"/>
      <c r="F2" s="340"/>
      <c r="G2" s="340"/>
      <c r="H2" s="340"/>
      <c r="I2" s="340"/>
      <c r="J2" s="340"/>
      <c r="K2" s="340"/>
    </row>
    <row r="3" spans="1:13" ht="15.75" customHeight="1" x14ac:dyDescent="0.25">
      <c r="A3" s="342" t="s">
        <v>489</v>
      </c>
      <c r="B3" s="342"/>
      <c r="C3" s="342"/>
      <c r="D3" s="342"/>
      <c r="E3" s="342"/>
      <c r="F3" s="342"/>
      <c r="G3" s="342"/>
      <c r="H3" s="342"/>
      <c r="I3" s="342"/>
      <c r="J3" s="342"/>
      <c r="K3" s="342"/>
    </row>
    <row r="4" spans="1:13" x14ac:dyDescent="0.2">
      <c r="G4" s="142">
        <f>G8+'[2]Bieu 59'!K10</f>
        <v>8083350.3535740012</v>
      </c>
      <c r="J4" s="344" t="s">
        <v>490</v>
      </c>
      <c r="K4" s="344"/>
    </row>
    <row r="5" spans="1:13" x14ac:dyDescent="0.25">
      <c r="A5" s="328" t="s">
        <v>2</v>
      </c>
      <c r="B5" s="328" t="s">
        <v>385</v>
      </c>
      <c r="C5" s="328" t="s">
        <v>491</v>
      </c>
      <c r="D5" s="328" t="s">
        <v>197</v>
      </c>
      <c r="E5" s="328"/>
      <c r="F5" s="328" t="s">
        <v>108</v>
      </c>
      <c r="G5" s="328" t="s">
        <v>197</v>
      </c>
      <c r="H5" s="328"/>
      <c r="I5" s="328" t="s">
        <v>109</v>
      </c>
      <c r="J5" s="328"/>
      <c r="K5" s="328"/>
      <c r="L5" s="142"/>
    </row>
    <row r="6" spans="1:13" ht="45.75" customHeight="1" x14ac:dyDescent="0.25">
      <c r="A6" s="328"/>
      <c r="B6" s="328"/>
      <c r="C6" s="328"/>
      <c r="D6" s="54" t="s">
        <v>386</v>
      </c>
      <c r="E6" s="54" t="s">
        <v>387</v>
      </c>
      <c r="F6" s="328"/>
      <c r="G6" s="54" t="s">
        <v>386</v>
      </c>
      <c r="H6" s="54" t="s">
        <v>387</v>
      </c>
      <c r="I6" s="54" t="s">
        <v>200</v>
      </c>
      <c r="J6" s="54" t="s">
        <v>198</v>
      </c>
      <c r="K6" s="54" t="s">
        <v>199</v>
      </c>
    </row>
    <row r="7" spans="1:13" x14ac:dyDescent="0.25">
      <c r="A7" s="54" t="s">
        <v>7</v>
      </c>
      <c r="B7" s="54" t="s">
        <v>8</v>
      </c>
      <c r="C7" s="54" t="s">
        <v>60</v>
      </c>
      <c r="D7" s="54">
        <v>2</v>
      </c>
      <c r="E7" s="54">
        <v>3</v>
      </c>
      <c r="F7" s="54" t="s">
        <v>61</v>
      </c>
      <c r="G7" s="54">
        <v>5</v>
      </c>
      <c r="H7" s="54">
        <v>6</v>
      </c>
      <c r="I7" s="54" t="s">
        <v>62</v>
      </c>
      <c r="J7" s="54" t="s">
        <v>63</v>
      </c>
      <c r="K7" s="54" t="s">
        <v>64</v>
      </c>
      <c r="L7" s="142"/>
    </row>
    <row r="8" spans="1:13" x14ac:dyDescent="0.25">
      <c r="A8" s="143"/>
      <c r="B8" s="144" t="s">
        <v>20</v>
      </c>
      <c r="C8" s="117">
        <v>7842265</v>
      </c>
      <c r="D8" s="117">
        <v>4509987</v>
      </c>
      <c r="E8" s="117">
        <v>3332278</v>
      </c>
      <c r="F8" s="117">
        <v>10351562.723144002</v>
      </c>
      <c r="G8" s="117">
        <v>5542789.7384740012</v>
      </c>
      <c r="H8" s="117">
        <v>4808772.9846700011</v>
      </c>
      <c r="I8" s="145">
        <f t="shared" ref="I8:K23" si="0">IF(C8=0,0,F8/C8*100)</f>
        <v>131.99710444806445</v>
      </c>
      <c r="J8" s="145">
        <f t="shared" si="0"/>
        <v>122.90034845940801</v>
      </c>
      <c r="K8" s="145">
        <f t="shared" si="0"/>
        <v>144.30887773078959</v>
      </c>
      <c r="L8" s="142"/>
      <c r="M8" s="106"/>
    </row>
    <row r="9" spans="1:13" ht="25.5" x14ac:dyDescent="0.25">
      <c r="A9" s="133" t="s">
        <v>7</v>
      </c>
      <c r="B9" s="126" t="s">
        <v>240</v>
      </c>
      <c r="C9" s="118">
        <v>6401125</v>
      </c>
      <c r="D9" s="146">
        <v>3132417</v>
      </c>
      <c r="E9" s="146">
        <v>3268708</v>
      </c>
      <c r="F9" s="146">
        <v>6127441.0491620013</v>
      </c>
      <c r="G9" s="146">
        <v>2364471.4028450004</v>
      </c>
      <c r="H9" s="146">
        <v>3762969.4463170003</v>
      </c>
      <c r="I9" s="147">
        <f t="shared" si="0"/>
        <v>95.724439831467151</v>
      </c>
      <c r="J9" s="147">
        <f t="shared" si="0"/>
        <v>75.483928316217174</v>
      </c>
      <c r="K9" s="147">
        <f t="shared" si="0"/>
        <v>115.12100335413871</v>
      </c>
      <c r="L9" s="142"/>
      <c r="M9" s="106"/>
    </row>
    <row r="10" spans="1:13" x14ac:dyDescent="0.25">
      <c r="A10" s="133" t="s">
        <v>241</v>
      </c>
      <c r="B10" s="126" t="s">
        <v>65</v>
      </c>
      <c r="C10" s="118">
        <v>6317225</v>
      </c>
      <c r="D10" s="146">
        <v>3048517</v>
      </c>
      <c r="E10" s="146">
        <v>3268708</v>
      </c>
      <c r="F10" s="146">
        <v>6108163.536065001</v>
      </c>
      <c r="G10" s="146">
        <v>2345193.8897480005</v>
      </c>
      <c r="H10" s="146">
        <v>3762969.4463170003</v>
      </c>
      <c r="I10" s="147">
        <f t="shared" si="0"/>
        <v>96.690612350596993</v>
      </c>
      <c r="J10" s="147">
        <f t="shared" si="0"/>
        <v>76.929008096330136</v>
      </c>
      <c r="K10" s="147">
        <f t="shared" si="0"/>
        <v>115.12100335413871</v>
      </c>
      <c r="L10" s="142"/>
      <c r="M10" s="106"/>
    </row>
    <row r="11" spans="1:13" x14ac:dyDescent="0.25">
      <c r="A11" s="131" t="s">
        <v>39</v>
      </c>
      <c r="B11" s="132" t="s">
        <v>21</v>
      </c>
      <c r="C11" s="118">
        <v>902220</v>
      </c>
      <c r="D11" s="118">
        <v>513733</v>
      </c>
      <c r="E11" s="118">
        <v>388487</v>
      </c>
      <c r="F11" s="146">
        <v>1257560.1399480002</v>
      </c>
      <c r="G11" s="148">
        <v>563651.5</v>
      </c>
      <c r="H11" s="148">
        <v>693908.63994800032</v>
      </c>
      <c r="I11" s="147">
        <f t="shared" si="0"/>
        <v>139.38508788854162</v>
      </c>
      <c r="J11" s="147">
        <f t="shared" si="0"/>
        <v>109.71681788010503</v>
      </c>
      <c r="K11" s="147">
        <f t="shared" si="0"/>
        <v>178.61823946438372</v>
      </c>
      <c r="L11" s="142"/>
      <c r="M11" s="106"/>
    </row>
    <row r="12" spans="1:13" hidden="1" outlineLevel="1" x14ac:dyDescent="0.25">
      <c r="A12" s="129">
        <v>1</v>
      </c>
      <c r="B12" s="130" t="s">
        <v>433</v>
      </c>
      <c r="C12" s="149">
        <v>902220</v>
      </c>
      <c r="D12" s="101">
        <v>513733</v>
      </c>
      <c r="E12" s="101">
        <v>388487</v>
      </c>
      <c r="F12" s="150">
        <v>1240117.6859480003</v>
      </c>
      <c r="G12" s="140">
        <v>554055.5</v>
      </c>
      <c r="H12" s="140">
        <v>686062.18594800029</v>
      </c>
      <c r="I12" s="151">
        <f t="shared" si="0"/>
        <v>137.45180620558182</v>
      </c>
      <c r="J12" s="151">
        <f t="shared" si="0"/>
        <v>107.84892152149072</v>
      </c>
      <c r="K12" s="151">
        <f t="shared" si="0"/>
        <v>176.59849260026726</v>
      </c>
      <c r="L12" s="142"/>
      <c r="M12" s="106"/>
    </row>
    <row r="13" spans="1:13" s="160" customFormat="1" hidden="1" outlineLevel="1" x14ac:dyDescent="0.25">
      <c r="A13" s="152"/>
      <c r="B13" s="153" t="s">
        <v>434</v>
      </c>
      <c r="C13" s="154">
        <v>0</v>
      </c>
      <c r="D13" s="155"/>
      <c r="E13" s="155">
        <v>0</v>
      </c>
      <c r="F13" s="152"/>
      <c r="G13" s="156"/>
      <c r="H13" s="156"/>
      <c r="I13" s="157">
        <f t="shared" si="0"/>
        <v>0</v>
      </c>
      <c r="J13" s="157">
        <f t="shared" si="0"/>
        <v>0</v>
      </c>
      <c r="K13" s="157">
        <f t="shared" si="0"/>
        <v>0</v>
      </c>
      <c r="L13" s="158"/>
      <c r="M13" s="159"/>
    </row>
    <row r="14" spans="1:13" s="160" customFormat="1" hidden="1" outlineLevel="1" x14ac:dyDescent="0.25">
      <c r="A14" s="152" t="s">
        <v>12</v>
      </c>
      <c r="B14" s="153" t="s">
        <v>67</v>
      </c>
      <c r="C14" s="154">
        <v>121011</v>
      </c>
      <c r="D14" s="155">
        <v>41847.006000000001</v>
      </c>
      <c r="E14" s="155">
        <v>79163.994000000006</v>
      </c>
      <c r="F14" s="161">
        <v>177791.79907199999</v>
      </c>
      <c r="G14" s="156">
        <v>46781.483200000002</v>
      </c>
      <c r="H14" s="156">
        <v>131010.31587199999</v>
      </c>
      <c r="I14" s="157">
        <f t="shared" si="0"/>
        <v>146.92201458710366</v>
      </c>
      <c r="J14" s="157">
        <f t="shared" si="0"/>
        <v>111.79170906515989</v>
      </c>
      <c r="K14" s="157">
        <f t="shared" si="0"/>
        <v>165.49230180579315</v>
      </c>
      <c r="L14" s="158"/>
      <c r="M14" s="159"/>
    </row>
    <row r="15" spans="1:13" s="160" customFormat="1" hidden="1" outlineLevel="1" x14ac:dyDescent="0.25">
      <c r="A15" s="152" t="s">
        <v>12</v>
      </c>
      <c r="B15" s="153" t="s">
        <v>435</v>
      </c>
      <c r="C15" s="154">
        <v>27508.376</v>
      </c>
      <c r="D15" s="155">
        <v>27508.376</v>
      </c>
      <c r="E15" s="155">
        <v>0</v>
      </c>
      <c r="F15" s="161">
        <v>17646.610184000001</v>
      </c>
      <c r="G15" s="156">
        <v>17646.610184000001</v>
      </c>
      <c r="H15" s="156">
        <v>0</v>
      </c>
      <c r="I15" s="157">
        <f t="shared" si="0"/>
        <v>64.149952668961632</v>
      </c>
      <c r="J15" s="157">
        <f t="shared" si="0"/>
        <v>64.149952668961632</v>
      </c>
      <c r="K15" s="157">
        <f t="shared" si="0"/>
        <v>0</v>
      </c>
      <c r="L15" s="158"/>
      <c r="M15" s="159"/>
    </row>
    <row r="16" spans="1:13" s="160" customFormat="1" hidden="1" outlineLevel="1" x14ac:dyDescent="0.25">
      <c r="A16" s="152"/>
      <c r="B16" s="153" t="s">
        <v>201</v>
      </c>
      <c r="C16" s="154">
        <v>0</v>
      </c>
      <c r="D16" s="155"/>
      <c r="E16" s="155">
        <v>0</v>
      </c>
      <c r="F16" s="152"/>
      <c r="G16" s="156"/>
      <c r="H16" s="156"/>
      <c r="I16" s="157">
        <f t="shared" si="0"/>
        <v>0</v>
      </c>
      <c r="J16" s="157">
        <f t="shared" si="0"/>
        <v>0</v>
      </c>
      <c r="K16" s="157">
        <f t="shared" si="0"/>
        <v>0</v>
      </c>
      <c r="L16" s="158"/>
      <c r="M16" s="159"/>
    </row>
    <row r="17" spans="1:13" s="160" customFormat="1" hidden="1" outlineLevel="1" x14ac:dyDescent="0.25">
      <c r="A17" s="152" t="s">
        <v>12</v>
      </c>
      <c r="B17" s="153" t="s">
        <v>69</v>
      </c>
      <c r="C17" s="154">
        <v>296116</v>
      </c>
      <c r="D17" s="155">
        <v>115220</v>
      </c>
      <c r="E17" s="155">
        <v>180896</v>
      </c>
      <c r="F17" s="161">
        <v>500636.99800000002</v>
      </c>
      <c r="G17" s="156">
        <v>173359.17800000001</v>
      </c>
      <c r="H17" s="156">
        <v>327277.82</v>
      </c>
      <c r="I17" s="157">
        <f t="shared" si="0"/>
        <v>169.06786462062166</v>
      </c>
      <c r="J17" s="157">
        <f t="shared" si="0"/>
        <v>150.45927616733209</v>
      </c>
      <c r="K17" s="157">
        <f t="shared" si="0"/>
        <v>180.92042941800815</v>
      </c>
      <c r="L17" s="158"/>
      <c r="M17" s="159"/>
    </row>
    <row r="18" spans="1:13" s="160" customFormat="1" hidden="1" outlineLevel="1" x14ac:dyDescent="0.25">
      <c r="A18" s="152" t="s">
        <v>12</v>
      </c>
      <c r="B18" s="153" t="s">
        <v>70</v>
      </c>
      <c r="C18" s="154">
        <v>90000</v>
      </c>
      <c r="D18" s="155">
        <v>80290</v>
      </c>
      <c r="E18" s="155">
        <v>9710</v>
      </c>
      <c r="F18" s="161">
        <v>95334.849699999992</v>
      </c>
      <c r="G18" s="156">
        <v>95334.849699999992</v>
      </c>
      <c r="H18" s="156">
        <v>0</v>
      </c>
      <c r="I18" s="157">
        <f t="shared" si="0"/>
        <v>105.92761077777777</v>
      </c>
      <c r="J18" s="157">
        <f t="shared" si="0"/>
        <v>118.73813638062025</v>
      </c>
      <c r="K18" s="157">
        <f t="shared" si="0"/>
        <v>0</v>
      </c>
      <c r="L18" s="158"/>
      <c r="M18" s="159"/>
    </row>
    <row r="19" spans="1:13" ht="63.75" hidden="1" outlineLevel="1" x14ac:dyDescent="0.25">
      <c r="A19" s="129">
        <v>2</v>
      </c>
      <c r="B19" s="130" t="s">
        <v>202</v>
      </c>
      <c r="C19" s="149">
        <v>3884</v>
      </c>
      <c r="D19" s="149">
        <v>3884</v>
      </c>
      <c r="E19" s="101">
        <v>0</v>
      </c>
      <c r="F19" s="149">
        <v>9596</v>
      </c>
      <c r="G19" s="149">
        <v>9596</v>
      </c>
      <c r="H19" s="149">
        <v>0</v>
      </c>
      <c r="I19" s="151">
        <f t="shared" si="0"/>
        <v>247.06488156539649</v>
      </c>
      <c r="J19" s="151">
        <f t="shared" si="0"/>
        <v>247.06488156539649</v>
      </c>
      <c r="K19" s="151">
        <f t="shared" si="0"/>
        <v>0</v>
      </c>
      <c r="L19" s="142"/>
      <c r="M19" s="106"/>
    </row>
    <row r="20" spans="1:13" hidden="1" outlineLevel="1" x14ac:dyDescent="0.25">
      <c r="A20" s="129">
        <v>3</v>
      </c>
      <c r="B20" s="130" t="s">
        <v>71</v>
      </c>
      <c r="C20" s="149">
        <v>0</v>
      </c>
      <c r="D20" s="149">
        <v>0</v>
      </c>
      <c r="E20" s="101">
        <v>0</v>
      </c>
      <c r="F20" s="149">
        <v>7846.4539999999997</v>
      </c>
      <c r="G20" s="149"/>
      <c r="H20" s="149">
        <v>7846.4539999999997</v>
      </c>
      <c r="I20" s="151">
        <f t="shared" si="0"/>
        <v>0</v>
      </c>
      <c r="J20" s="151">
        <f t="shared" si="0"/>
        <v>0</v>
      </c>
      <c r="K20" s="151">
        <f t="shared" si="0"/>
        <v>0</v>
      </c>
      <c r="L20" s="142"/>
      <c r="M20" s="106"/>
    </row>
    <row r="21" spans="1:13" s="104" customFormat="1" collapsed="1" x14ac:dyDescent="0.25">
      <c r="A21" s="133" t="s">
        <v>25</v>
      </c>
      <c r="B21" s="126" t="s">
        <v>22</v>
      </c>
      <c r="C21" s="118">
        <v>4457168</v>
      </c>
      <c r="D21" s="118">
        <v>1636507</v>
      </c>
      <c r="E21" s="118">
        <v>2820661</v>
      </c>
      <c r="F21" s="118">
        <v>4776892.6441170005</v>
      </c>
      <c r="G21" s="118">
        <v>1707831.8377480002</v>
      </c>
      <c r="H21" s="118">
        <v>3069060.8063690001</v>
      </c>
      <c r="I21" s="147">
        <f t="shared" si="0"/>
        <v>107.17326885854428</v>
      </c>
      <c r="J21" s="147">
        <f t="shared" si="0"/>
        <v>104.35835824399165</v>
      </c>
      <c r="K21" s="147">
        <f t="shared" si="0"/>
        <v>108.80643956749853</v>
      </c>
      <c r="L21" s="142"/>
      <c r="M21" s="106"/>
    </row>
    <row r="22" spans="1:13" x14ac:dyDescent="0.25">
      <c r="A22" s="123"/>
      <c r="B22" s="153" t="s">
        <v>72</v>
      </c>
      <c r="C22" s="118">
        <v>0</v>
      </c>
      <c r="D22" s="149"/>
      <c r="E22" s="149"/>
      <c r="F22" s="149"/>
      <c r="G22" s="149"/>
      <c r="H22" s="149"/>
      <c r="I22" s="151">
        <f t="shared" si="0"/>
        <v>0</v>
      </c>
      <c r="J22" s="151">
        <f t="shared" si="0"/>
        <v>0</v>
      </c>
      <c r="K22" s="151">
        <f t="shared" si="0"/>
        <v>0</v>
      </c>
      <c r="L22" s="142"/>
      <c r="M22" s="106"/>
    </row>
    <row r="23" spans="1:13" s="160" customFormat="1" x14ac:dyDescent="0.25">
      <c r="A23" s="152">
        <v>1</v>
      </c>
      <c r="B23" s="153" t="s">
        <v>67</v>
      </c>
      <c r="C23" s="154">
        <v>1973977</v>
      </c>
      <c r="D23" s="154">
        <v>385819</v>
      </c>
      <c r="E23" s="154">
        <v>1588158</v>
      </c>
      <c r="F23" s="154">
        <v>2097483.4695000001</v>
      </c>
      <c r="G23" s="154">
        <v>408469.44099999999</v>
      </c>
      <c r="H23" s="154">
        <v>1689014.0285000002</v>
      </c>
      <c r="I23" s="157">
        <f t="shared" si="0"/>
        <v>106.25673295585511</v>
      </c>
      <c r="J23" s="157">
        <f t="shared" si="0"/>
        <v>105.87074275761432</v>
      </c>
      <c r="K23" s="157">
        <f t="shared" si="0"/>
        <v>106.35050344487138</v>
      </c>
      <c r="L23" s="158"/>
      <c r="M23" s="159"/>
    </row>
    <row r="24" spans="1:13" s="160" customFormat="1" x14ac:dyDescent="0.25">
      <c r="A24" s="152">
        <v>2</v>
      </c>
      <c r="B24" s="153" t="s">
        <v>68</v>
      </c>
      <c r="C24" s="154">
        <v>16442</v>
      </c>
      <c r="D24" s="154">
        <v>14942</v>
      </c>
      <c r="E24" s="154">
        <v>1500</v>
      </c>
      <c r="F24" s="161">
        <v>8845.6528870000002</v>
      </c>
      <c r="G24" s="154">
        <v>7464.5960569999997</v>
      </c>
      <c r="H24" s="154">
        <v>1381.0568300000004</v>
      </c>
      <c r="I24" s="157">
        <f t="shared" ref="I24:K107" si="1">IF(C24=0,0,F24/C24*100)</f>
        <v>53.799129588857809</v>
      </c>
      <c r="J24" s="157">
        <f t="shared" si="1"/>
        <v>49.95714132646232</v>
      </c>
      <c r="K24" s="157">
        <f t="shared" si="1"/>
        <v>92.070455333333371</v>
      </c>
      <c r="L24" s="158"/>
      <c r="M24" s="159"/>
    </row>
    <row r="25" spans="1:13" s="104" customFormat="1" ht="25.5" x14ac:dyDescent="0.25">
      <c r="A25" s="133" t="s">
        <v>29</v>
      </c>
      <c r="B25" s="126" t="s">
        <v>231</v>
      </c>
      <c r="C25" s="118">
        <v>2000</v>
      </c>
      <c r="D25" s="118">
        <v>2000</v>
      </c>
      <c r="E25" s="118">
        <v>0</v>
      </c>
      <c r="F25" s="118">
        <v>9500.851999999999</v>
      </c>
      <c r="G25" s="118">
        <v>9500.851999999999</v>
      </c>
      <c r="H25" s="118">
        <v>0</v>
      </c>
      <c r="I25" s="147">
        <f t="shared" si="1"/>
        <v>475.04259999999994</v>
      </c>
      <c r="J25" s="147">
        <f t="shared" si="1"/>
        <v>475.04259999999994</v>
      </c>
      <c r="K25" s="147">
        <f t="shared" si="1"/>
        <v>0</v>
      </c>
      <c r="L25" s="142"/>
      <c r="M25" s="106"/>
    </row>
    <row r="26" spans="1:13" s="104" customFormat="1" x14ac:dyDescent="0.25">
      <c r="A26" s="133" t="s">
        <v>56</v>
      </c>
      <c r="B26" s="126" t="s">
        <v>23</v>
      </c>
      <c r="C26" s="118">
        <v>1000</v>
      </c>
      <c r="D26" s="118">
        <v>1000</v>
      </c>
      <c r="E26" s="118">
        <v>0</v>
      </c>
      <c r="F26" s="118">
        <v>1000</v>
      </c>
      <c r="G26" s="118">
        <v>1000</v>
      </c>
      <c r="H26" s="118">
        <v>0</v>
      </c>
      <c r="I26" s="147">
        <f t="shared" si="1"/>
        <v>100</v>
      </c>
      <c r="J26" s="147">
        <f t="shared" si="1"/>
        <v>100</v>
      </c>
      <c r="K26" s="147">
        <f t="shared" si="1"/>
        <v>0</v>
      </c>
      <c r="L26" s="142"/>
      <c r="M26" s="106"/>
    </row>
    <row r="27" spans="1:13" s="104" customFormat="1" x14ac:dyDescent="0.25">
      <c r="A27" s="133" t="s">
        <v>73</v>
      </c>
      <c r="B27" s="126" t="s">
        <v>24</v>
      </c>
      <c r="C27" s="118">
        <v>126345</v>
      </c>
      <c r="D27" s="118">
        <v>66785</v>
      </c>
      <c r="E27" s="118">
        <v>59560</v>
      </c>
      <c r="F27" s="118"/>
      <c r="G27" s="118"/>
      <c r="H27" s="118"/>
      <c r="I27" s="147">
        <f t="shared" si="1"/>
        <v>0</v>
      </c>
      <c r="J27" s="147">
        <f t="shared" si="1"/>
        <v>0</v>
      </c>
      <c r="K27" s="147">
        <f t="shared" si="1"/>
        <v>0</v>
      </c>
      <c r="L27" s="142"/>
      <c r="M27" s="106"/>
    </row>
    <row r="28" spans="1:13" s="104" customFormat="1" ht="76.5" x14ac:dyDescent="0.25">
      <c r="A28" s="131" t="s">
        <v>74</v>
      </c>
      <c r="B28" s="132" t="s">
        <v>436</v>
      </c>
      <c r="C28" s="118">
        <v>789492</v>
      </c>
      <c r="D28" s="118">
        <v>789492</v>
      </c>
      <c r="E28" s="118">
        <v>0</v>
      </c>
      <c r="F28" s="118">
        <v>51310</v>
      </c>
      <c r="G28" s="118">
        <v>51310</v>
      </c>
      <c r="H28" s="118">
        <v>0</v>
      </c>
      <c r="I28" s="147"/>
      <c r="J28" s="147">
        <f t="shared" si="1"/>
        <v>6.4991158871780836</v>
      </c>
      <c r="K28" s="147"/>
      <c r="L28" s="142"/>
      <c r="M28" s="106"/>
    </row>
    <row r="29" spans="1:13" s="104" customFormat="1" x14ac:dyDescent="0.25">
      <c r="A29" s="131" t="s">
        <v>383</v>
      </c>
      <c r="B29" s="132" t="s">
        <v>425</v>
      </c>
      <c r="C29" s="118">
        <v>39000</v>
      </c>
      <c r="D29" s="118">
        <v>39000</v>
      </c>
      <c r="E29" s="118">
        <v>0</v>
      </c>
      <c r="F29" s="162">
        <v>0</v>
      </c>
      <c r="G29" s="139">
        <v>0</v>
      </c>
      <c r="H29" s="139">
        <v>0</v>
      </c>
      <c r="I29" s="147">
        <f t="shared" si="1"/>
        <v>0</v>
      </c>
      <c r="J29" s="147">
        <f t="shared" si="1"/>
        <v>0</v>
      </c>
      <c r="K29" s="147">
        <f t="shared" si="1"/>
        <v>0</v>
      </c>
      <c r="L29" s="142"/>
      <c r="M29" s="106"/>
    </row>
    <row r="30" spans="1:13" s="104" customFormat="1" x14ac:dyDescent="0.25">
      <c r="A30" s="131" t="s">
        <v>384</v>
      </c>
      <c r="B30" s="132" t="s">
        <v>437</v>
      </c>
      <c r="C30" s="118">
        <v>0</v>
      </c>
      <c r="D30" s="118"/>
      <c r="E30" s="118">
        <v>0</v>
      </c>
      <c r="F30" s="162">
        <v>11899.7</v>
      </c>
      <c r="G30" s="139">
        <v>11899.7</v>
      </c>
      <c r="H30" s="139">
        <v>0</v>
      </c>
      <c r="I30" s="147">
        <f t="shared" si="1"/>
        <v>0</v>
      </c>
      <c r="J30" s="147">
        <f t="shared" si="1"/>
        <v>0</v>
      </c>
      <c r="K30" s="147">
        <f t="shared" si="1"/>
        <v>0</v>
      </c>
      <c r="L30" s="142"/>
      <c r="M30" s="106"/>
    </row>
    <row r="31" spans="1:13" s="104" customFormat="1" x14ac:dyDescent="0.25">
      <c r="A31" s="133" t="s">
        <v>242</v>
      </c>
      <c r="B31" s="126" t="s">
        <v>243</v>
      </c>
      <c r="C31" s="118">
        <v>83900</v>
      </c>
      <c r="D31" s="146">
        <v>83900</v>
      </c>
      <c r="E31" s="118">
        <v>0</v>
      </c>
      <c r="F31" s="162">
        <v>19277.513097000003</v>
      </c>
      <c r="G31" s="139">
        <v>19277.513097000003</v>
      </c>
      <c r="H31" s="139">
        <v>0</v>
      </c>
      <c r="I31" s="147">
        <f t="shared" si="1"/>
        <v>22.976773655542317</v>
      </c>
      <c r="J31" s="147">
        <f t="shared" si="1"/>
        <v>22.976773655542317</v>
      </c>
      <c r="K31" s="147">
        <f t="shared" si="1"/>
        <v>0</v>
      </c>
      <c r="L31" s="142"/>
      <c r="M31" s="106"/>
    </row>
    <row r="32" spans="1:13" x14ac:dyDescent="0.25">
      <c r="A32" s="133" t="s">
        <v>8</v>
      </c>
      <c r="B32" s="126" t="s">
        <v>75</v>
      </c>
      <c r="C32" s="118">
        <v>1441140</v>
      </c>
      <c r="D32" s="118">
        <v>1377570</v>
      </c>
      <c r="E32" s="118">
        <v>63570</v>
      </c>
      <c r="F32" s="118">
        <v>1589410.533905</v>
      </c>
      <c r="G32" s="118">
        <v>1519875.9024049998</v>
      </c>
      <c r="H32" s="118">
        <v>69534.631499999989</v>
      </c>
      <c r="I32" s="147">
        <f t="shared" si="1"/>
        <v>110.28841985546165</v>
      </c>
      <c r="J32" s="147">
        <f t="shared" si="1"/>
        <v>110.33021206944112</v>
      </c>
      <c r="K32" s="147">
        <f t="shared" si="1"/>
        <v>109.38277725342141</v>
      </c>
      <c r="L32" s="142"/>
      <c r="M32" s="106"/>
    </row>
    <row r="33" spans="1:13" x14ac:dyDescent="0.25">
      <c r="A33" s="133" t="s">
        <v>39</v>
      </c>
      <c r="B33" s="126" t="s">
        <v>27</v>
      </c>
      <c r="C33" s="118">
        <v>0</v>
      </c>
      <c r="D33" s="118"/>
      <c r="E33" s="118">
        <v>0</v>
      </c>
      <c r="F33" s="118">
        <v>43796.432468999992</v>
      </c>
      <c r="G33" s="118">
        <v>37058.607468999995</v>
      </c>
      <c r="H33" s="118">
        <v>6737.8249999999998</v>
      </c>
      <c r="I33" s="147">
        <f t="shared" si="1"/>
        <v>0</v>
      </c>
      <c r="J33" s="147">
        <f t="shared" si="1"/>
        <v>0</v>
      </c>
      <c r="K33" s="147">
        <f t="shared" si="1"/>
        <v>0</v>
      </c>
      <c r="L33" s="142"/>
      <c r="M33" s="106"/>
    </row>
    <row r="34" spans="1:13" x14ac:dyDescent="0.25">
      <c r="A34" s="123">
        <v>1</v>
      </c>
      <c r="B34" s="124" t="s">
        <v>203</v>
      </c>
      <c r="C34" s="118">
        <v>0</v>
      </c>
      <c r="D34" s="149"/>
      <c r="E34" s="118"/>
      <c r="F34" s="149">
        <v>7095.7290000000003</v>
      </c>
      <c r="G34" s="149">
        <v>488</v>
      </c>
      <c r="H34" s="149">
        <v>6607.7290000000003</v>
      </c>
      <c r="I34" s="151">
        <f t="shared" si="1"/>
        <v>0</v>
      </c>
      <c r="J34" s="151">
        <f t="shared" si="1"/>
        <v>0</v>
      </c>
      <c r="K34" s="151">
        <f t="shared" si="1"/>
        <v>0</v>
      </c>
      <c r="L34" s="142"/>
      <c r="M34" s="106"/>
    </row>
    <row r="35" spans="1:13" x14ac:dyDescent="0.25">
      <c r="A35" s="123">
        <v>2</v>
      </c>
      <c r="B35" s="124" t="s">
        <v>204</v>
      </c>
      <c r="C35" s="118">
        <v>0</v>
      </c>
      <c r="D35" s="149"/>
      <c r="E35" s="118"/>
      <c r="F35" s="149">
        <v>36700.703468999993</v>
      </c>
      <c r="G35" s="149">
        <v>36570.607468999995</v>
      </c>
      <c r="H35" s="149">
        <v>130.09599999999949</v>
      </c>
      <c r="I35" s="151">
        <f t="shared" si="1"/>
        <v>0</v>
      </c>
      <c r="J35" s="151">
        <f t="shared" si="1"/>
        <v>0</v>
      </c>
      <c r="K35" s="151">
        <f t="shared" si="1"/>
        <v>0</v>
      </c>
      <c r="L35" s="142"/>
      <c r="M35" s="106"/>
    </row>
    <row r="36" spans="1:13" x14ac:dyDescent="0.25">
      <c r="A36" s="133" t="s">
        <v>25</v>
      </c>
      <c r="B36" s="126" t="s">
        <v>205</v>
      </c>
      <c r="C36" s="118">
        <v>1441140</v>
      </c>
      <c r="D36" s="118">
        <v>1377570</v>
      </c>
      <c r="E36" s="118">
        <v>63570</v>
      </c>
      <c r="F36" s="118">
        <v>1545614.1014359999</v>
      </c>
      <c r="G36" s="118">
        <v>1482817.2949359999</v>
      </c>
      <c r="H36" s="118">
        <v>62796.806499999992</v>
      </c>
      <c r="I36" s="147">
        <f t="shared" si="1"/>
        <v>107.24940681932358</v>
      </c>
      <c r="J36" s="147">
        <f t="shared" si="1"/>
        <v>107.64006873959218</v>
      </c>
      <c r="K36" s="147">
        <f t="shared" si="1"/>
        <v>98.783713229510766</v>
      </c>
      <c r="L36" s="142"/>
      <c r="M36" s="106"/>
    </row>
    <row r="37" spans="1:13" x14ac:dyDescent="0.25">
      <c r="A37" s="131" t="s">
        <v>206</v>
      </c>
      <c r="B37" s="132" t="s">
        <v>207</v>
      </c>
      <c r="C37" s="118">
        <v>1234788</v>
      </c>
      <c r="D37" s="118">
        <v>1234788</v>
      </c>
      <c r="E37" s="118">
        <v>0</v>
      </c>
      <c r="F37" s="118">
        <v>1352597.853684</v>
      </c>
      <c r="G37" s="118">
        <v>1352597.853684</v>
      </c>
      <c r="H37" s="118">
        <v>0</v>
      </c>
      <c r="I37" s="147">
        <f t="shared" si="1"/>
        <v>109.54089719725167</v>
      </c>
      <c r="J37" s="147">
        <f t="shared" si="1"/>
        <v>109.54089719725167</v>
      </c>
      <c r="K37" s="147">
        <f t="shared" si="1"/>
        <v>0</v>
      </c>
      <c r="L37" s="142"/>
      <c r="M37" s="106"/>
    </row>
    <row r="38" spans="1:13" hidden="1" outlineLevel="1" x14ac:dyDescent="0.25">
      <c r="A38" s="131">
        <v>1</v>
      </c>
      <c r="B38" s="132" t="s">
        <v>145</v>
      </c>
      <c r="C38" s="118">
        <v>386030</v>
      </c>
      <c r="D38" s="118">
        <v>386030</v>
      </c>
      <c r="E38" s="118">
        <v>0</v>
      </c>
      <c r="F38" s="118">
        <v>370724.38072699995</v>
      </c>
      <c r="G38" s="118">
        <v>370724.38072699995</v>
      </c>
      <c r="H38" s="118"/>
      <c r="I38" s="147"/>
      <c r="J38" s="147"/>
      <c r="K38" s="147"/>
      <c r="L38" s="142"/>
      <c r="M38" s="106"/>
    </row>
    <row r="39" spans="1:13" hidden="1" outlineLevel="1" x14ac:dyDescent="0.25">
      <c r="A39" s="131" t="s">
        <v>78</v>
      </c>
      <c r="B39" s="132" t="s">
        <v>438</v>
      </c>
      <c r="C39" s="118">
        <v>0</v>
      </c>
      <c r="D39" s="118"/>
      <c r="E39" s="118">
        <v>0</v>
      </c>
      <c r="F39" s="118">
        <v>199806.565</v>
      </c>
      <c r="G39" s="118">
        <v>199806.565</v>
      </c>
      <c r="H39" s="118"/>
      <c r="I39" s="147"/>
      <c r="J39" s="147"/>
      <c r="K39" s="147"/>
      <c r="L39" s="142"/>
      <c r="M39" s="106"/>
    </row>
    <row r="40" spans="1:13" ht="25.5" hidden="1" outlineLevel="1" x14ac:dyDescent="0.25">
      <c r="A40" s="123" t="s">
        <v>12</v>
      </c>
      <c r="B40" s="163" t="s">
        <v>225</v>
      </c>
      <c r="C40" s="149">
        <v>0</v>
      </c>
      <c r="D40" s="149"/>
      <c r="E40" s="149">
        <v>0</v>
      </c>
      <c r="F40" s="149">
        <v>195985.905</v>
      </c>
      <c r="G40" s="149">
        <v>195985.905</v>
      </c>
      <c r="H40" s="149"/>
      <c r="I40" s="151"/>
      <c r="J40" s="151"/>
      <c r="K40" s="151"/>
      <c r="L40" s="142"/>
      <c r="M40" s="106"/>
    </row>
    <row r="41" spans="1:13" ht="25.5" hidden="1" outlineLevel="1" x14ac:dyDescent="0.25">
      <c r="A41" s="123" t="s">
        <v>12</v>
      </c>
      <c r="B41" s="164" t="s">
        <v>439</v>
      </c>
      <c r="C41" s="149">
        <v>0</v>
      </c>
      <c r="D41" s="149"/>
      <c r="E41" s="149">
        <v>0</v>
      </c>
      <c r="F41" s="149">
        <v>3820.66</v>
      </c>
      <c r="G41" s="149">
        <v>3820.66</v>
      </c>
      <c r="H41" s="149"/>
      <c r="I41" s="151"/>
      <c r="J41" s="151"/>
      <c r="K41" s="151"/>
      <c r="L41" s="142"/>
      <c r="M41" s="106"/>
    </row>
    <row r="42" spans="1:13" hidden="1" outlineLevel="1" x14ac:dyDescent="0.25">
      <c r="A42" s="131" t="s">
        <v>79</v>
      </c>
      <c r="B42" s="132" t="s">
        <v>440</v>
      </c>
      <c r="C42" s="118">
        <v>386030</v>
      </c>
      <c r="D42" s="118">
        <v>386030</v>
      </c>
      <c r="E42" s="118">
        <v>0</v>
      </c>
      <c r="F42" s="118">
        <v>170917.81572699998</v>
      </c>
      <c r="G42" s="118">
        <v>170917.81572699998</v>
      </c>
      <c r="H42" s="118"/>
      <c r="I42" s="147"/>
      <c r="J42" s="147"/>
      <c r="K42" s="147"/>
      <c r="L42" s="142"/>
      <c r="M42" s="106"/>
    </row>
    <row r="43" spans="1:13" ht="25.5" hidden="1" outlineLevel="1" x14ac:dyDescent="0.25">
      <c r="A43" s="123" t="s">
        <v>12</v>
      </c>
      <c r="B43" s="163" t="s">
        <v>441</v>
      </c>
      <c r="C43" s="149">
        <v>35904</v>
      </c>
      <c r="D43" s="149">
        <v>35904</v>
      </c>
      <c r="E43" s="149">
        <v>0</v>
      </c>
      <c r="F43" s="149">
        <v>22279.692595</v>
      </c>
      <c r="G43" s="149">
        <v>22279.692595</v>
      </c>
      <c r="H43" s="149"/>
      <c r="I43" s="151"/>
      <c r="J43" s="151"/>
      <c r="K43" s="151"/>
      <c r="L43" s="142"/>
      <c r="M43" s="106"/>
    </row>
    <row r="44" spans="1:13" hidden="1" outlineLevel="1" x14ac:dyDescent="0.25">
      <c r="A44" s="123" t="s">
        <v>12</v>
      </c>
      <c r="B44" s="165" t="s">
        <v>442</v>
      </c>
      <c r="C44" s="149">
        <v>46980</v>
      </c>
      <c r="D44" s="149">
        <v>46980</v>
      </c>
      <c r="E44" s="149">
        <v>0</v>
      </c>
      <c r="F44" s="149">
        <v>38692.844313000001</v>
      </c>
      <c r="G44" s="149">
        <v>38692.844313000001</v>
      </c>
      <c r="H44" s="149"/>
      <c r="I44" s="151"/>
      <c r="J44" s="151"/>
      <c r="K44" s="151"/>
      <c r="L44" s="142"/>
      <c r="M44" s="106"/>
    </row>
    <row r="45" spans="1:13" ht="25.5" hidden="1" outlineLevel="1" x14ac:dyDescent="0.25">
      <c r="A45" s="123" t="s">
        <v>12</v>
      </c>
      <c r="B45" s="166" t="s">
        <v>443</v>
      </c>
      <c r="C45" s="149">
        <v>224000</v>
      </c>
      <c r="D45" s="149">
        <v>224000</v>
      </c>
      <c r="E45" s="149">
        <v>0</v>
      </c>
      <c r="F45" s="149">
        <v>83489.148786999998</v>
      </c>
      <c r="G45" s="149">
        <v>83489.148786999998</v>
      </c>
      <c r="H45" s="149"/>
      <c r="I45" s="151"/>
      <c r="J45" s="151"/>
      <c r="K45" s="151"/>
      <c r="L45" s="142"/>
      <c r="M45" s="106"/>
    </row>
    <row r="46" spans="1:13" ht="38.25" hidden="1" outlineLevel="1" x14ac:dyDescent="0.25">
      <c r="A46" s="123" t="s">
        <v>12</v>
      </c>
      <c r="B46" s="164" t="s">
        <v>444</v>
      </c>
      <c r="C46" s="149">
        <v>79146</v>
      </c>
      <c r="D46" s="149">
        <v>79146</v>
      </c>
      <c r="E46" s="149">
        <v>0</v>
      </c>
      <c r="F46" s="149">
        <v>26456.130031999997</v>
      </c>
      <c r="G46" s="149">
        <v>26456.130031999997</v>
      </c>
      <c r="H46" s="149"/>
      <c r="I46" s="151"/>
      <c r="J46" s="151"/>
      <c r="K46" s="151"/>
      <c r="L46" s="142"/>
      <c r="M46" s="106"/>
    </row>
    <row r="47" spans="1:13" ht="25.5" hidden="1" outlineLevel="1" x14ac:dyDescent="0.25">
      <c r="A47" s="131" t="s">
        <v>445</v>
      </c>
      <c r="B47" s="134" t="s">
        <v>446</v>
      </c>
      <c r="C47" s="118">
        <v>0</v>
      </c>
      <c r="D47" s="118"/>
      <c r="E47" s="118">
        <v>0</v>
      </c>
      <c r="F47" s="118">
        <v>10254.152539000001</v>
      </c>
      <c r="G47" s="118">
        <v>10254.152539000001</v>
      </c>
      <c r="H47" s="118"/>
      <c r="I47" s="147"/>
      <c r="J47" s="147"/>
      <c r="K47" s="147"/>
      <c r="L47" s="142"/>
      <c r="M47" s="106"/>
    </row>
    <row r="48" spans="1:13" hidden="1" outlineLevel="1" x14ac:dyDescent="0.25">
      <c r="A48" s="123" t="s">
        <v>12</v>
      </c>
      <c r="B48" s="165" t="s">
        <v>442</v>
      </c>
      <c r="C48" s="149">
        <v>0</v>
      </c>
      <c r="D48" s="149"/>
      <c r="E48" s="149">
        <v>0</v>
      </c>
      <c r="F48" s="149">
        <v>1227.0024410000005</v>
      </c>
      <c r="G48" s="149">
        <v>1227.0024410000005</v>
      </c>
      <c r="H48" s="149"/>
      <c r="I48" s="151"/>
      <c r="J48" s="151"/>
      <c r="K48" s="151"/>
      <c r="L48" s="142"/>
      <c r="M48" s="106"/>
    </row>
    <row r="49" spans="1:13" ht="25.5" hidden="1" outlineLevel="1" x14ac:dyDescent="0.25">
      <c r="A49" s="123" t="s">
        <v>12</v>
      </c>
      <c r="B49" s="166" t="s">
        <v>443</v>
      </c>
      <c r="C49" s="149">
        <v>0</v>
      </c>
      <c r="D49" s="149"/>
      <c r="E49" s="149">
        <v>0</v>
      </c>
      <c r="F49" s="149">
        <v>8571.2636870000006</v>
      </c>
      <c r="G49" s="149">
        <v>8571.2636870000006</v>
      </c>
      <c r="H49" s="149"/>
      <c r="I49" s="151"/>
      <c r="J49" s="151"/>
      <c r="K49" s="151"/>
      <c r="L49" s="142"/>
      <c r="M49" s="106"/>
    </row>
    <row r="50" spans="1:13" ht="25.5" hidden="1" outlineLevel="1" x14ac:dyDescent="0.25">
      <c r="A50" s="123" t="s">
        <v>12</v>
      </c>
      <c r="B50" s="163" t="s">
        <v>441</v>
      </c>
      <c r="C50" s="149">
        <v>0</v>
      </c>
      <c r="D50" s="149"/>
      <c r="E50" s="149">
        <v>0</v>
      </c>
      <c r="F50" s="149">
        <v>455.88641100000001</v>
      </c>
      <c r="G50" s="149">
        <v>455.88641100000001</v>
      </c>
      <c r="H50" s="149"/>
      <c r="I50" s="151"/>
      <c r="J50" s="151"/>
      <c r="K50" s="151"/>
      <c r="L50" s="142"/>
      <c r="M50" s="106"/>
    </row>
    <row r="51" spans="1:13" hidden="1" outlineLevel="1" x14ac:dyDescent="0.25">
      <c r="A51" s="131" t="s">
        <v>447</v>
      </c>
      <c r="B51" s="132" t="s">
        <v>127</v>
      </c>
      <c r="C51" s="118">
        <v>848758</v>
      </c>
      <c r="D51" s="118">
        <v>848758</v>
      </c>
      <c r="E51" s="118">
        <v>0</v>
      </c>
      <c r="F51" s="118">
        <v>971619.3204180001</v>
      </c>
      <c r="G51" s="118">
        <v>971619.3204180001</v>
      </c>
      <c r="H51" s="118"/>
      <c r="I51" s="147"/>
      <c r="J51" s="147"/>
      <c r="K51" s="147"/>
      <c r="L51" s="142"/>
      <c r="M51" s="106"/>
    </row>
    <row r="52" spans="1:13" hidden="1" outlineLevel="1" x14ac:dyDescent="0.25">
      <c r="A52" s="131" t="s">
        <v>448</v>
      </c>
      <c r="B52" s="132" t="s">
        <v>449</v>
      </c>
      <c r="C52" s="118">
        <v>848758</v>
      </c>
      <c r="D52" s="118">
        <v>848758</v>
      </c>
      <c r="E52" s="118">
        <v>0</v>
      </c>
      <c r="F52" s="118">
        <v>892690.55371300015</v>
      </c>
      <c r="G52" s="118">
        <v>892690.55371300015</v>
      </c>
      <c r="H52" s="118"/>
      <c r="I52" s="147"/>
      <c r="J52" s="147"/>
      <c r="K52" s="147"/>
      <c r="L52" s="142"/>
      <c r="M52" s="106"/>
    </row>
    <row r="53" spans="1:13" hidden="1" outlineLevel="1" x14ac:dyDescent="0.25">
      <c r="A53" s="123" t="s">
        <v>12</v>
      </c>
      <c r="B53" s="163" t="s">
        <v>450</v>
      </c>
      <c r="C53" s="149">
        <v>476376</v>
      </c>
      <c r="D53" s="149">
        <v>476376</v>
      </c>
      <c r="E53" s="149">
        <v>0</v>
      </c>
      <c r="F53" s="149">
        <v>294180.01506100001</v>
      </c>
      <c r="G53" s="149">
        <v>294180.01506100001</v>
      </c>
      <c r="H53" s="149"/>
      <c r="I53" s="151"/>
      <c r="J53" s="151"/>
      <c r="K53" s="151"/>
      <c r="L53" s="142"/>
      <c r="M53" s="106"/>
    </row>
    <row r="54" spans="1:13" hidden="1" outlineLevel="1" x14ac:dyDescent="0.25">
      <c r="A54" s="123" t="s">
        <v>12</v>
      </c>
      <c r="B54" s="124" t="s">
        <v>451</v>
      </c>
      <c r="C54" s="149">
        <v>99426.442999999999</v>
      </c>
      <c r="D54" s="149">
        <v>99426.442999999999</v>
      </c>
      <c r="E54" s="149">
        <v>0</v>
      </c>
      <c r="F54" s="149">
        <v>92597.739499999996</v>
      </c>
      <c r="G54" s="149">
        <v>92597.739499999996</v>
      </c>
      <c r="H54" s="149"/>
      <c r="I54" s="151"/>
      <c r="J54" s="151"/>
      <c r="K54" s="151"/>
      <c r="L54" s="142"/>
      <c r="M54" s="106"/>
    </row>
    <row r="55" spans="1:13" hidden="1" outlineLevel="1" x14ac:dyDescent="0.25">
      <c r="A55" s="123" t="s">
        <v>12</v>
      </c>
      <c r="B55" s="124" t="s">
        <v>452</v>
      </c>
      <c r="C55" s="149">
        <v>7611</v>
      </c>
      <c r="D55" s="149">
        <v>7611</v>
      </c>
      <c r="E55" s="149">
        <v>0</v>
      </c>
      <c r="F55" s="149">
        <v>7646.2980950000001</v>
      </c>
      <c r="G55" s="149">
        <v>7646.2980950000001</v>
      </c>
      <c r="H55" s="149"/>
      <c r="I55" s="151"/>
      <c r="J55" s="151"/>
      <c r="K55" s="151"/>
      <c r="L55" s="142"/>
      <c r="M55" s="106"/>
    </row>
    <row r="56" spans="1:13" ht="25.5" hidden="1" outlineLevel="1" x14ac:dyDescent="0.25">
      <c r="A56" s="123" t="s">
        <v>12</v>
      </c>
      <c r="B56" s="124" t="s">
        <v>453</v>
      </c>
      <c r="C56" s="149">
        <v>110900</v>
      </c>
      <c r="D56" s="149">
        <v>110900</v>
      </c>
      <c r="E56" s="149">
        <v>0</v>
      </c>
      <c r="F56" s="149">
        <v>26410.048000000003</v>
      </c>
      <c r="G56" s="149">
        <v>26410.048000000003</v>
      </c>
      <c r="H56" s="149"/>
      <c r="I56" s="151"/>
      <c r="J56" s="151"/>
      <c r="K56" s="151"/>
      <c r="L56" s="142"/>
      <c r="M56" s="106"/>
    </row>
    <row r="57" spans="1:13" hidden="1" outlineLevel="1" x14ac:dyDescent="0.25">
      <c r="A57" s="123" t="s">
        <v>12</v>
      </c>
      <c r="B57" s="124" t="s">
        <v>454</v>
      </c>
      <c r="C57" s="149">
        <v>126532.557</v>
      </c>
      <c r="D57" s="149">
        <v>126532.557</v>
      </c>
      <c r="E57" s="149">
        <v>0</v>
      </c>
      <c r="F57" s="149">
        <v>106283.64799999999</v>
      </c>
      <c r="G57" s="149">
        <v>106283.64799999999</v>
      </c>
      <c r="H57" s="149"/>
      <c r="I57" s="151"/>
      <c r="J57" s="151"/>
      <c r="K57" s="151"/>
      <c r="L57" s="142"/>
      <c r="M57" s="106"/>
    </row>
    <row r="58" spans="1:13" hidden="1" outlineLevel="1" x14ac:dyDescent="0.25">
      <c r="A58" s="123" t="s">
        <v>12</v>
      </c>
      <c r="B58" s="163" t="s">
        <v>455</v>
      </c>
      <c r="C58" s="149">
        <v>700</v>
      </c>
      <c r="D58" s="149">
        <v>700</v>
      </c>
      <c r="E58" s="149">
        <v>0</v>
      </c>
      <c r="F58" s="149">
        <v>0</v>
      </c>
      <c r="G58" s="149">
        <v>0</v>
      </c>
      <c r="H58" s="149"/>
      <c r="I58" s="151"/>
      <c r="J58" s="151"/>
      <c r="K58" s="151"/>
      <c r="L58" s="142"/>
      <c r="M58" s="106"/>
    </row>
    <row r="59" spans="1:13" hidden="1" outlineLevel="1" x14ac:dyDescent="0.25">
      <c r="A59" s="123" t="s">
        <v>12</v>
      </c>
      <c r="B59" s="163" t="s">
        <v>456</v>
      </c>
      <c r="C59" s="149">
        <v>27212</v>
      </c>
      <c r="D59" s="149">
        <v>27212</v>
      </c>
      <c r="E59" s="149">
        <v>0</v>
      </c>
      <c r="F59" s="149">
        <v>3168.8610000000008</v>
      </c>
      <c r="G59" s="149">
        <v>3168.8610000000008</v>
      </c>
      <c r="H59" s="149"/>
      <c r="I59" s="151"/>
      <c r="J59" s="151"/>
      <c r="K59" s="151"/>
      <c r="L59" s="142"/>
      <c r="M59" s="106"/>
    </row>
    <row r="60" spans="1:13" ht="25.5" hidden="1" outlineLevel="1" x14ac:dyDescent="0.25">
      <c r="A60" s="123" t="s">
        <v>12</v>
      </c>
      <c r="B60" s="163" t="s">
        <v>457</v>
      </c>
      <c r="C60" s="149">
        <v>0</v>
      </c>
      <c r="D60" s="149"/>
      <c r="E60" s="149">
        <v>0</v>
      </c>
      <c r="F60" s="149">
        <v>83092.604460000002</v>
      </c>
      <c r="G60" s="149">
        <v>83092.604460000002</v>
      </c>
      <c r="H60" s="149"/>
      <c r="I60" s="151"/>
      <c r="J60" s="151"/>
      <c r="K60" s="151"/>
      <c r="L60" s="142"/>
      <c r="M60" s="106"/>
    </row>
    <row r="61" spans="1:13" ht="25.5" hidden="1" outlineLevel="1" x14ac:dyDescent="0.25">
      <c r="A61" s="123" t="s">
        <v>12</v>
      </c>
      <c r="B61" s="124" t="s">
        <v>458</v>
      </c>
      <c r="C61" s="149">
        <v>0</v>
      </c>
      <c r="D61" s="149"/>
      <c r="E61" s="149">
        <v>0</v>
      </c>
      <c r="F61" s="149">
        <v>800.58470499999999</v>
      </c>
      <c r="G61" s="149">
        <v>800.58470499999999</v>
      </c>
      <c r="H61" s="149"/>
      <c r="I61" s="151"/>
      <c r="J61" s="151"/>
      <c r="K61" s="151"/>
      <c r="L61" s="142"/>
      <c r="M61" s="106"/>
    </row>
    <row r="62" spans="1:13" ht="25.5" hidden="1" outlineLevel="1" x14ac:dyDescent="0.25">
      <c r="A62" s="123" t="s">
        <v>12</v>
      </c>
      <c r="B62" s="124" t="s">
        <v>459</v>
      </c>
      <c r="C62" s="149">
        <v>0</v>
      </c>
      <c r="D62" s="149"/>
      <c r="E62" s="149">
        <v>0</v>
      </c>
      <c r="F62" s="149">
        <v>21749.041000000001</v>
      </c>
      <c r="G62" s="149">
        <v>21749.041000000001</v>
      </c>
      <c r="H62" s="149"/>
      <c r="I62" s="151"/>
      <c r="J62" s="151"/>
      <c r="K62" s="151"/>
      <c r="L62" s="142"/>
      <c r="M62" s="106"/>
    </row>
    <row r="63" spans="1:13" ht="25.5" hidden="1" outlineLevel="1" x14ac:dyDescent="0.25">
      <c r="A63" s="123" t="s">
        <v>12</v>
      </c>
      <c r="B63" s="124" t="s">
        <v>460</v>
      </c>
      <c r="C63" s="149">
        <v>0</v>
      </c>
      <c r="D63" s="149"/>
      <c r="E63" s="149">
        <v>0</v>
      </c>
      <c r="F63" s="149">
        <v>146211.486107</v>
      </c>
      <c r="G63" s="149">
        <v>146211.486107</v>
      </c>
      <c r="H63" s="149"/>
      <c r="I63" s="151"/>
      <c r="J63" s="151"/>
      <c r="K63" s="151"/>
      <c r="L63" s="142"/>
      <c r="M63" s="106"/>
    </row>
    <row r="64" spans="1:13" hidden="1" outlineLevel="1" x14ac:dyDescent="0.25">
      <c r="A64" s="123" t="s">
        <v>12</v>
      </c>
      <c r="B64" s="163" t="s">
        <v>461</v>
      </c>
      <c r="C64" s="149">
        <v>0</v>
      </c>
      <c r="D64" s="149"/>
      <c r="E64" s="149">
        <v>0</v>
      </c>
      <c r="F64" s="149">
        <v>99999.273000000001</v>
      </c>
      <c r="G64" s="149">
        <v>99999.273000000001</v>
      </c>
      <c r="H64" s="149"/>
      <c r="I64" s="151"/>
      <c r="J64" s="151"/>
      <c r="K64" s="151"/>
      <c r="L64" s="142"/>
      <c r="M64" s="106"/>
    </row>
    <row r="65" spans="1:13" hidden="1" outlineLevel="1" x14ac:dyDescent="0.25">
      <c r="A65" s="123" t="s">
        <v>12</v>
      </c>
      <c r="B65" s="163" t="s">
        <v>462</v>
      </c>
      <c r="C65" s="149">
        <v>0</v>
      </c>
      <c r="D65" s="149"/>
      <c r="E65" s="149">
        <v>0</v>
      </c>
      <c r="F65" s="149">
        <v>10550.954785000002</v>
      </c>
      <c r="G65" s="149">
        <v>10550.954785000002</v>
      </c>
      <c r="H65" s="149"/>
      <c r="I65" s="151"/>
      <c r="J65" s="151"/>
      <c r="K65" s="151"/>
      <c r="L65" s="142"/>
      <c r="M65" s="106"/>
    </row>
    <row r="66" spans="1:13" hidden="1" outlineLevel="1" x14ac:dyDescent="0.25">
      <c r="A66" s="131" t="s">
        <v>144</v>
      </c>
      <c r="B66" s="132" t="s">
        <v>463</v>
      </c>
      <c r="C66" s="118">
        <v>0</v>
      </c>
      <c r="D66" s="118"/>
      <c r="E66" s="118">
        <v>0</v>
      </c>
      <c r="F66" s="118">
        <v>78928.766705000002</v>
      </c>
      <c r="G66" s="118">
        <v>78928.766705000002</v>
      </c>
      <c r="H66" s="118"/>
      <c r="I66" s="147"/>
      <c r="J66" s="147"/>
      <c r="K66" s="147"/>
      <c r="L66" s="142"/>
      <c r="M66" s="106"/>
    </row>
    <row r="67" spans="1:13" hidden="1" outlineLevel="1" x14ac:dyDescent="0.25">
      <c r="A67" s="123" t="s">
        <v>12</v>
      </c>
      <c r="B67" s="163" t="s">
        <v>464</v>
      </c>
      <c r="C67" s="149">
        <v>0</v>
      </c>
      <c r="D67" s="149"/>
      <c r="E67" s="149">
        <v>0</v>
      </c>
      <c r="F67" s="149">
        <v>78928.766705000002</v>
      </c>
      <c r="G67" s="149">
        <v>78928.766705000002</v>
      </c>
      <c r="H67" s="149"/>
      <c r="I67" s="151"/>
      <c r="J67" s="151"/>
      <c r="K67" s="151"/>
      <c r="L67" s="142"/>
      <c r="M67" s="106"/>
    </row>
    <row r="68" spans="1:13" hidden="1" outlineLevel="1" x14ac:dyDescent="0.25">
      <c r="A68" s="123"/>
      <c r="B68" s="124" t="s">
        <v>465</v>
      </c>
      <c r="C68" s="149">
        <v>0</v>
      </c>
      <c r="D68" s="149"/>
      <c r="E68" s="149">
        <v>0</v>
      </c>
      <c r="F68" s="149">
        <v>0</v>
      </c>
      <c r="G68" s="149"/>
      <c r="H68" s="149"/>
      <c r="I68" s="151"/>
      <c r="J68" s="151"/>
      <c r="K68" s="151"/>
      <c r="L68" s="142"/>
      <c r="M68" s="106"/>
    </row>
    <row r="69" spans="1:13" collapsed="1" x14ac:dyDescent="0.25">
      <c r="A69" s="133" t="s">
        <v>208</v>
      </c>
      <c r="B69" s="126" t="s">
        <v>209</v>
      </c>
      <c r="C69" s="118">
        <v>206352</v>
      </c>
      <c r="D69" s="118">
        <v>142782</v>
      </c>
      <c r="E69" s="118">
        <v>63570</v>
      </c>
      <c r="F69" s="118">
        <v>193016.24775199997</v>
      </c>
      <c r="G69" s="118">
        <v>130219.44125200002</v>
      </c>
      <c r="H69" s="118">
        <v>62796.806499999992</v>
      </c>
      <c r="I69" s="147">
        <f t="shared" si="1"/>
        <v>93.537376789175767</v>
      </c>
      <c r="J69" s="147">
        <f t="shared" si="1"/>
        <v>91.201580907957606</v>
      </c>
      <c r="K69" s="147">
        <f t="shared" si="1"/>
        <v>98.783713229510766</v>
      </c>
      <c r="L69" s="142"/>
      <c r="M69" s="106"/>
    </row>
    <row r="70" spans="1:13" s="104" customFormat="1" hidden="1" outlineLevel="1" x14ac:dyDescent="0.25">
      <c r="A70" s="133" t="s">
        <v>39</v>
      </c>
      <c r="B70" s="126" t="s">
        <v>128</v>
      </c>
      <c r="C70" s="118">
        <v>18680</v>
      </c>
      <c r="D70" s="118">
        <v>18680</v>
      </c>
      <c r="E70" s="118">
        <v>0</v>
      </c>
      <c r="F70" s="118">
        <v>7819.8088029999999</v>
      </c>
      <c r="G70" s="118">
        <v>7819.8088029999999</v>
      </c>
      <c r="H70" s="118">
        <v>0</v>
      </c>
      <c r="I70" s="147">
        <f t="shared" si="1"/>
        <v>41.861931493576016</v>
      </c>
      <c r="J70" s="147">
        <f t="shared" si="1"/>
        <v>41.861931493576016</v>
      </c>
      <c r="K70" s="147">
        <f t="shared" si="1"/>
        <v>0</v>
      </c>
      <c r="L70" s="142"/>
      <c r="M70" s="106"/>
    </row>
    <row r="71" spans="1:13" ht="38.25" hidden="1" outlineLevel="1" x14ac:dyDescent="0.25">
      <c r="A71" s="129" t="s">
        <v>244</v>
      </c>
      <c r="B71" s="130" t="s">
        <v>466</v>
      </c>
      <c r="C71" s="149">
        <v>11500</v>
      </c>
      <c r="D71" s="149">
        <v>11500</v>
      </c>
      <c r="E71" s="149">
        <v>0</v>
      </c>
      <c r="F71" s="149">
        <v>5376.8008030000001</v>
      </c>
      <c r="G71" s="149">
        <v>5376.8008030000001</v>
      </c>
      <c r="H71" s="149"/>
      <c r="I71" s="151">
        <f t="shared" si="1"/>
        <v>46.754789591304345</v>
      </c>
      <c r="J71" s="151">
        <f t="shared" si="1"/>
        <v>46.754789591304345</v>
      </c>
      <c r="K71" s="151">
        <f t="shared" si="1"/>
        <v>0</v>
      </c>
      <c r="L71" s="142"/>
      <c r="M71" s="106"/>
    </row>
    <row r="72" spans="1:13" ht="51" hidden="1" outlineLevel="1" x14ac:dyDescent="0.25">
      <c r="A72" s="129" t="s">
        <v>244</v>
      </c>
      <c r="B72" s="130" t="s">
        <v>245</v>
      </c>
      <c r="C72" s="149">
        <v>4683</v>
      </c>
      <c r="D72" s="149">
        <v>4683</v>
      </c>
      <c r="E72" s="149">
        <v>0</v>
      </c>
      <c r="F72" s="149">
        <v>2443.0079999999998</v>
      </c>
      <c r="G72" s="149">
        <v>2443.0079999999998</v>
      </c>
      <c r="H72" s="149"/>
      <c r="I72" s="151">
        <f t="shared" si="1"/>
        <v>52.167584881486221</v>
      </c>
      <c r="J72" s="151">
        <f t="shared" si="1"/>
        <v>52.167584881486221</v>
      </c>
      <c r="K72" s="151">
        <f t="shared" si="1"/>
        <v>0</v>
      </c>
      <c r="L72" s="142"/>
      <c r="M72" s="106"/>
    </row>
    <row r="73" spans="1:13" ht="51" hidden="1" outlineLevel="1" x14ac:dyDescent="0.25">
      <c r="A73" s="129" t="s">
        <v>244</v>
      </c>
      <c r="B73" s="130" t="s">
        <v>246</v>
      </c>
      <c r="C73" s="149">
        <v>1829</v>
      </c>
      <c r="D73" s="149">
        <v>1829</v>
      </c>
      <c r="E73" s="149">
        <v>0</v>
      </c>
      <c r="F73" s="149">
        <v>0</v>
      </c>
      <c r="G73" s="149"/>
      <c r="H73" s="149"/>
      <c r="I73" s="151">
        <f t="shared" si="1"/>
        <v>0</v>
      </c>
      <c r="J73" s="151">
        <f t="shared" si="1"/>
        <v>0</v>
      </c>
      <c r="K73" s="151">
        <f t="shared" si="1"/>
        <v>0</v>
      </c>
      <c r="L73" s="142"/>
      <c r="M73" s="106"/>
    </row>
    <row r="74" spans="1:13" hidden="1" outlineLevel="1" x14ac:dyDescent="0.25">
      <c r="A74" s="129" t="s">
        <v>244</v>
      </c>
      <c r="B74" s="130" t="s">
        <v>467</v>
      </c>
      <c r="C74" s="149">
        <v>668</v>
      </c>
      <c r="D74" s="149">
        <v>668</v>
      </c>
      <c r="E74" s="149">
        <v>0</v>
      </c>
      <c r="F74" s="149">
        <v>0</v>
      </c>
      <c r="G74" s="149"/>
      <c r="H74" s="149"/>
      <c r="I74" s="151">
        <f t="shared" si="1"/>
        <v>0</v>
      </c>
      <c r="J74" s="151">
        <f t="shared" si="1"/>
        <v>0</v>
      </c>
      <c r="K74" s="151">
        <f t="shared" si="1"/>
        <v>0</v>
      </c>
      <c r="L74" s="142"/>
      <c r="M74" s="106"/>
    </row>
    <row r="75" spans="1:13" s="104" customFormat="1" hidden="1" outlineLevel="1" x14ac:dyDescent="0.25">
      <c r="A75" s="133" t="s">
        <v>25</v>
      </c>
      <c r="B75" s="126" t="s">
        <v>127</v>
      </c>
      <c r="C75" s="118">
        <v>187672</v>
      </c>
      <c r="D75" s="118">
        <v>124102</v>
      </c>
      <c r="E75" s="118">
        <v>63570</v>
      </c>
      <c r="F75" s="118">
        <v>185196.43894899997</v>
      </c>
      <c r="G75" s="118">
        <v>122399.63244900001</v>
      </c>
      <c r="H75" s="118">
        <v>62796.806499999992</v>
      </c>
      <c r="I75" s="147">
        <f t="shared" si="1"/>
        <v>98.680910817276938</v>
      </c>
      <c r="J75" s="147">
        <f t="shared" si="1"/>
        <v>98.62825131665889</v>
      </c>
      <c r="K75" s="147">
        <f t="shared" si="1"/>
        <v>98.783713229510766</v>
      </c>
      <c r="L75" s="142"/>
      <c r="M75" s="106"/>
    </row>
    <row r="76" spans="1:13" hidden="1" outlineLevel="1" x14ac:dyDescent="0.25">
      <c r="A76" s="129">
        <v>1</v>
      </c>
      <c r="B76" s="130" t="s">
        <v>468</v>
      </c>
      <c r="C76" s="149">
        <v>23602</v>
      </c>
      <c r="D76" s="149">
        <v>2479</v>
      </c>
      <c r="E76" s="149">
        <v>21123</v>
      </c>
      <c r="F76" s="149">
        <v>23411.965499999998</v>
      </c>
      <c r="G76" s="149">
        <v>2479</v>
      </c>
      <c r="H76" s="149">
        <v>20932.965499999998</v>
      </c>
      <c r="I76" s="151">
        <f t="shared" si="1"/>
        <v>99.194837301923556</v>
      </c>
      <c r="J76" s="151">
        <f t="shared" si="1"/>
        <v>100</v>
      </c>
      <c r="K76" s="151">
        <f t="shared" si="1"/>
        <v>99.100343227761201</v>
      </c>
      <c r="L76" s="142"/>
      <c r="M76" s="106"/>
    </row>
    <row r="77" spans="1:13" ht="25.5" hidden="1" outlineLevel="1" x14ac:dyDescent="0.25">
      <c r="A77" s="129">
        <v>2</v>
      </c>
      <c r="B77" s="130" t="s">
        <v>469</v>
      </c>
      <c r="C77" s="149">
        <v>17849</v>
      </c>
      <c r="D77" s="149">
        <v>0</v>
      </c>
      <c r="E77" s="149">
        <v>17849</v>
      </c>
      <c r="F77" s="149">
        <v>17849</v>
      </c>
      <c r="G77" s="149"/>
      <c r="H77" s="149">
        <v>17849</v>
      </c>
      <c r="I77" s="151">
        <f t="shared" si="1"/>
        <v>100</v>
      </c>
      <c r="J77" s="151">
        <f t="shared" si="1"/>
        <v>0</v>
      </c>
      <c r="K77" s="151">
        <f t="shared" si="1"/>
        <v>100</v>
      </c>
      <c r="L77" s="142"/>
      <c r="M77" s="106"/>
    </row>
    <row r="78" spans="1:13" ht="51" hidden="1" outlineLevel="1" x14ac:dyDescent="0.25">
      <c r="A78" s="129">
        <v>3</v>
      </c>
      <c r="B78" s="130" t="s">
        <v>470</v>
      </c>
      <c r="C78" s="149">
        <v>3167</v>
      </c>
      <c r="D78" s="149">
        <v>654</v>
      </c>
      <c r="E78" s="149">
        <v>2513</v>
      </c>
      <c r="F78" s="149">
        <v>3154.261</v>
      </c>
      <c r="G78" s="149">
        <v>654</v>
      </c>
      <c r="H78" s="149">
        <v>2500.261</v>
      </c>
      <c r="I78" s="151">
        <f t="shared" si="1"/>
        <v>99.597758130723079</v>
      </c>
      <c r="J78" s="151">
        <f t="shared" si="1"/>
        <v>100</v>
      </c>
      <c r="K78" s="151">
        <f t="shared" si="1"/>
        <v>99.493076004775176</v>
      </c>
      <c r="L78" s="142"/>
      <c r="M78" s="106"/>
    </row>
    <row r="79" spans="1:13" ht="38.25" hidden="1" outlineLevel="1" x14ac:dyDescent="0.25">
      <c r="A79" s="129" t="s">
        <v>143</v>
      </c>
      <c r="B79" s="130" t="s">
        <v>471</v>
      </c>
      <c r="C79" s="149">
        <v>1355</v>
      </c>
      <c r="D79" s="149"/>
      <c r="E79" s="149">
        <v>1355</v>
      </c>
      <c r="F79" s="149">
        <v>1355</v>
      </c>
      <c r="G79" s="149"/>
      <c r="H79" s="149">
        <v>1355</v>
      </c>
      <c r="I79" s="151">
        <f t="shared" si="1"/>
        <v>100</v>
      </c>
      <c r="J79" s="151">
        <f t="shared" si="1"/>
        <v>0</v>
      </c>
      <c r="K79" s="151">
        <f t="shared" si="1"/>
        <v>100</v>
      </c>
      <c r="L79" s="142"/>
      <c r="M79" s="106"/>
    </row>
    <row r="80" spans="1:13" ht="38.25" hidden="1" outlineLevel="1" x14ac:dyDescent="0.25">
      <c r="A80" s="129" t="s">
        <v>144</v>
      </c>
      <c r="B80" s="130" t="s">
        <v>472</v>
      </c>
      <c r="C80" s="149">
        <v>1812</v>
      </c>
      <c r="D80" s="149">
        <v>654</v>
      </c>
      <c r="E80" s="149">
        <v>1158</v>
      </c>
      <c r="F80" s="149">
        <v>1799.261</v>
      </c>
      <c r="G80" s="149">
        <v>654</v>
      </c>
      <c r="H80" s="149">
        <v>1145.261</v>
      </c>
      <c r="I80" s="151">
        <f t="shared" si="1"/>
        <v>99.29696467991171</v>
      </c>
      <c r="J80" s="151">
        <f t="shared" si="1"/>
        <v>100</v>
      </c>
      <c r="K80" s="151">
        <f t="shared" si="1"/>
        <v>98.899913644214152</v>
      </c>
      <c r="L80" s="142"/>
      <c r="M80" s="106"/>
    </row>
    <row r="81" spans="1:13" ht="76.5" hidden="1" outlineLevel="1" x14ac:dyDescent="0.25">
      <c r="A81" s="129">
        <v>4</v>
      </c>
      <c r="B81" s="130" t="s">
        <v>210</v>
      </c>
      <c r="C81" s="149">
        <v>7714</v>
      </c>
      <c r="D81" s="149">
        <v>6637</v>
      </c>
      <c r="E81" s="149">
        <v>1077</v>
      </c>
      <c r="F81" s="149">
        <v>7714</v>
      </c>
      <c r="G81" s="149">
        <v>6637</v>
      </c>
      <c r="H81" s="149">
        <v>1077</v>
      </c>
      <c r="I81" s="151">
        <f t="shared" si="1"/>
        <v>100</v>
      </c>
      <c r="J81" s="151">
        <f t="shared" si="1"/>
        <v>100</v>
      </c>
      <c r="K81" s="151">
        <f t="shared" si="1"/>
        <v>100</v>
      </c>
      <c r="L81" s="142"/>
      <c r="M81" s="106"/>
    </row>
    <row r="82" spans="1:13" hidden="1" outlineLevel="1" x14ac:dyDescent="0.25">
      <c r="A82" s="129" t="s">
        <v>182</v>
      </c>
      <c r="B82" s="130" t="s">
        <v>211</v>
      </c>
      <c r="C82" s="149">
        <v>3868</v>
      </c>
      <c r="D82" s="149">
        <v>3868</v>
      </c>
      <c r="E82" s="149">
        <v>0</v>
      </c>
      <c r="F82" s="149">
        <v>3868</v>
      </c>
      <c r="G82" s="149">
        <v>3868</v>
      </c>
      <c r="H82" s="149"/>
      <c r="I82" s="147">
        <f t="shared" si="1"/>
        <v>100</v>
      </c>
      <c r="J82" s="147">
        <f t="shared" si="1"/>
        <v>100</v>
      </c>
      <c r="K82" s="147">
        <f t="shared" si="1"/>
        <v>0</v>
      </c>
      <c r="L82" s="142"/>
      <c r="M82" s="106"/>
    </row>
    <row r="83" spans="1:13" ht="25.5" hidden="1" outlineLevel="1" x14ac:dyDescent="0.25">
      <c r="A83" s="129" t="s">
        <v>183</v>
      </c>
      <c r="B83" s="130" t="s">
        <v>212</v>
      </c>
      <c r="C83" s="149">
        <v>1077</v>
      </c>
      <c r="D83" s="149"/>
      <c r="E83" s="149">
        <v>1077</v>
      </c>
      <c r="F83" s="149">
        <v>1077</v>
      </c>
      <c r="G83" s="149"/>
      <c r="H83" s="149">
        <v>1077</v>
      </c>
      <c r="I83" s="151">
        <f t="shared" si="1"/>
        <v>100</v>
      </c>
      <c r="J83" s="151">
        <f t="shared" si="1"/>
        <v>0</v>
      </c>
      <c r="K83" s="151">
        <f t="shared" si="1"/>
        <v>100</v>
      </c>
      <c r="L83" s="142"/>
      <c r="M83" s="106"/>
    </row>
    <row r="84" spans="1:13" ht="25.5" hidden="1" outlineLevel="1" x14ac:dyDescent="0.25">
      <c r="A84" s="129" t="s">
        <v>184</v>
      </c>
      <c r="B84" s="130" t="s">
        <v>213</v>
      </c>
      <c r="C84" s="149">
        <v>2769</v>
      </c>
      <c r="D84" s="149">
        <v>2769</v>
      </c>
      <c r="E84" s="149">
        <v>0</v>
      </c>
      <c r="F84" s="149">
        <v>2769</v>
      </c>
      <c r="G84" s="149">
        <v>2769</v>
      </c>
      <c r="H84" s="149">
        <v>0</v>
      </c>
      <c r="I84" s="151">
        <f t="shared" si="1"/>
        <v>100</v>
      </c>
      <c r="J84" s="151">
        <f t="shared" si="1"/>
        <v>100</v>
      </c>
      <c r="K84" s="151">
        <f t="shared" si="1"/>
        <v>0</v>
      </c>
      <c r="L84" s="142"/>
      <c r="M84" s="106"/>
    </row>
    <row r="85" spans="1:13" ht="38.25" hidden="1" outlineLevel="1" x14ac:dyDescent="0.25">
      <c r="A85" s="129">
        <v>5</v>
      </c>
      <c r="B85" s="130" t="s">
        <v>473</v>
      </c>
      <c r="C85" s="149">
        <v>1484</v>
      </c>
      <c r="D85" s="149">
        <v>1484</v>
      </c>
      <c r="E85" s="149">
        <v>0</v>
      </c>
      <c r="F85" s="149">
        <v>496</v>
      </c>
      <c r="G85" s="149">
        <v>496</v>
      </c>
      <c r="H85" s="149">
        <v>0</v>
      </c>
      <c r="I85" s="151">
        <f t="shared" si="1"/>
        <v>33.423180592991912</v>
      </c>
      <c r="J85" s="151">
        <f t="shared" si="1"/>
        <v>33.423180592991912</v>
      </c>
      <c r="K85" s="151">
        <f t="shared" si="1"/>
        <v>0</v>
      </c>
      <c r="L85" s="142"/>
      <c r="M85" s="106"/>
    </row>
    <row r="86" spans="1:13" hidden="1" outlineLevel="1" x14ac:dyDescent="0.25">
      <c r="A86" s="129" t="s">
        <v>474</v>
      </c>
      <c r="B86" s="130" t="s">
        <v>214</v>
      </c>
      <c r="C86" s="149">
        <v>1288</v>
      </c>
      <c r="D86" s="149">
        <v>1288</v>
      </c>
      <c r="E86" s="149">
        <v>0</v>
      </c>
      <c r="F86" s="149">
        <v>300</v>
      </c>
      <c r="G86" s="149">
        <v>300</v>
      </c>
      <c r="H86" s="149"/>
      <c r="I86" s="151">
        <f t="shared" si="1"/>
        <v>23.29192546583851</v>
      </c>
      <c r="J86" s="151">
        <f t="shared" si="1"/>
        <v>23.29192546583851</v>
      </c>
      <c r="K86" s="151">
        <f t="shared" si="1"/>
        <v>0</v>
      </c>
      <c r="L86" s="142"/>
      <c r="M86" s="106"/>
    </row>
    <row r="87" spans="1:13" ht="25.5" hidden="1" outlineLevel="1" x14ac:dyDescent="0.25">
      <c r="A87" s="129" t="s">
        <v>475</v>
      </c>
      <c r="B87" s="130" t="s">
        <v>215</v>
      </c>
      <c r="C87" s="149">
        <v>196</v>
      </c>
      <c r="D87" s="149">
        <v>196</v>
      </c>
      <c r="E87" s="149">
        <v>0</v>
      </c>
      <c r="F87" s="149">
        <v>196</v>
      </c>
      <c r="G87" s="149">
        <v>196</v>
      </c>
      <c r="H87" s="149"/>
      <c r="I87" s="151">
        <f t="shared" si="1"/>
        <v>100</v>
      </c>
      <c r="J87" s="151">
        <f t="shared" si="1"/>
        <v>100</v>
      </c>
      <c r="K87" s="151">
        <f t="shared" si="1"/>
        <v>0</v>
      </c>
      <c r="L87" s="142"/>
      <c r="M87" s="106"/>
    </row>
    <row r="88" spans="1:13" ht="38.25" hidden="1" outlineLevel="1" x14ac:dyDescent="0.25">
      <c r="A88" s="129">
        <v>6</v>
      </c>
      <c r="B88" s="130" t="s">
        <v>216</v>
      </c>
      <c r="C88" s="149">
        <v>29575</v>
      </c>
      <c r="D88" s="149">
        <v>29575</v>
      </c>
      <c r="E88" s="149">
        <v>0</v>
      </c>
      <c r="F88" s="149">
        <v>29575</v>
      </c>
      <c r="G88" s="149">
        <v>29575</v>
      </c>
      <c r="H88" s="149"/>
      <c r="I88" s="151">
        <f t="shared" si="1"/>
        <v>100</v>
      </c>
      <c r="J88" s="151">
        <f t="shared" si="1"/>
        <v>100</v>
      </c>
      <c r="K88" s="151">
        <f t="shared" si="1"/>
        <v>0</v>
      </c>
      <c r="L88" s="142"/>
      <c r="M88" s="106"/>
    </row>
    <row r="89" spans="1:13" ht="25.5" hidden="1" outlineLevel="1" x14ac:dyDescent="0.25">
      <c r="A89" s="129">
        <v>7</v>
      </c>
      <c r="B89" s="130" t="s">
        <v>217</v>
      </c>
      <c r="C89" s="149">
        <v>6381</v>
      </c>
      <c r="D89" s="149">
        <v>6381</v>
      </c>
      <c r="E89" s="149">
        <v>0</v>
      </c>
      <c r="F89" s="149">
        <v>6381</v>
      </c>
      <c r="G89" s="149">
        <v>6381</v>
      </c>
      <c r="H89" s="149"/>
      <c r="I89" s="151">
        <f t="shared" si="1"/>
        <v>100</v>
      </c>
      <c r="J89" s="151">
        <f t="shared" si="1"/>
        <v>100</v>
      </c>
      <c r="K89" s="151">
        <f t="shared" si="1"/>
        <v>0</v>
      </c>
      <c r="L89" s="142"/>
      <c r="M89" s="106"/>
    </row>
    <row r="90" spans="1:13" ht="25.5" hidden="1" outlineLevel="1" x14ac:dyDescent="0.25">
      <c r="A90" s="129">
        <v>8</v>
      </c>
      <c r="B90" s="130" t="s">
        <v>476</v>
      </c>
      <c r="C90" s="149">
        <v>4155</v>
      </c>
      <c r="D90" s="149">
        <v>2156</v>
      </c>
      <c r="E90" s="149">
        <v>1999</v>
      </c>
      <c r="F90" s="149">
        <v>4071.29</v>
      </c>
      <c r="G90" s="149">
        <v>2151.8000000000002</v>
      </c>
      <c r="H90" s="149">
        <v>1919.49</v>
      </c>
      <c r="I90" s="151">
        <f t="shared" si="1"/>
        <v>97.985318892900125</v>
      </c>
      <c r="J90" s="151">
        <f t="shared" si="1"/>
        <v>99.805194805194816</v>
      </c>
      <c r="K90" s="151">
        <f t="shared" si="1"/>
        <v>96.022511255627819</v>
      </c>
      <c r="L90" s="142"/>
      <c r="M90" s="106"/>
    </row>
    <row r="91" spans="1:13" ht="25.5" hidden="1" outlineLevel="1" x14ac:dyDescent="0.25">
      <c r="A91" s="135" t="s">
        <v>12</v>
      </c>
      <c r="B91" s="130" t="s">
        <v>218</v>
      </c>
      <c r="C91" s="149">
        <v>1020</v>
      </c>
      <c r="D91" s="149">
        <v>0</v>
      </c>
      <c r="E91" s="149">
        <v>1020</v>
      </c>
      <c r="F91" s="149">
        <v>1015</v>
      </c>
      <c r="G91" s="149"/>
      <c r="H91" s="149">
        <v>1015</v>
      </c>
      <c r="I91" s="151">
        <f t="shared" si="1"/>
        <v>99.509803921568633</v>
      </c>
      <c r="J91" s="151">
        <f t="shared" si="1"/>
        <v>0</v>
      </c>
      <c r="K91" s="151">
        <f t="shared" si="1"/>
        <v>99.509803921568633</v>
      </c>
      <c r="L91" s="142"/>
      <c r="M91" s="106"/>
    </row>
    <row r="92" spans="1:13" ht="25.5" hidden="1" outlineLevel="1" x14ac:dyDescent="0.25">
      <c r="A92" s="135" t="s">
        <v>12</v>
      </c>
      <c r="B92" s="130" t="s">
        <v>219</v>
      </c>
      <c r="C92" s="149">
        <v>1110</v>
      </c>
      <c r="D92" s="149">
        <v>131</v>
      </c>
      <c r="E92" s="149">
        <v>979</v>
      </c>
      <c r="F92" s="149">
        <v>1031.29</v>
      </c>
      <c r="G92" s="149">
        <v>126.8</v>
      </c>
      <c r="H92" s="149">
        <v>904.49</v>
      </c>
      <c r="I92" s="151">
        <f t="shared" si="1"/>
        <v>92.909009009008997</v>
      </c>
      <c r="J92" s="151">
        <f t="shared" si="1"/>
        <v>96.793893129770993</v>
      </c>
      <c r="K92" s="151">
        <f t="shared" si="1"/>
        <v>92.389172625127685</v>
      </c>
      <c r="L92" s="142"/>
      <c r="M92" s="106"/>
    </row>
    <row r="93" spans="1:13" ht="38.25" hidden="1" outlineLevel="1" x14ac:dyDescent="0.25">
      <c r="A93" s="135" t="s">
        <v>12</v>
      </c>
      <c r="B93" s="130" t="s">
        <v>220</v>
      </c>
      <c r="C93" s="149">
        <v>726</v>
      </c>
      <c r="D93" s="149">
        <v>726</v>
      </c>
      <c r="E93" s="149">
        <v>0</v>
      </c>
      <c r="F93" s="149">
        <v>726</v>
      </c>
      <c r="G93" s="149">
        <v>726</v>
      </c>
      <c r="H93" s="149"/>
      <c r="I93" s="151">
        <f t="shared" si="1"/>
        <v>100</v>
      </c>
      <c r="J93" s="151">
        <f t="shared" si="1"/>
        <v>100</v>
      </c>
      <c r="K93" s="151">
        <f t="shared" si="1"/>
        <v>0</v>
      </c>
      <c r="L93" s="142"/>
      <c r="M93" s="106"/>
    </row>
    <row r="94" spans="1:13" ht="38.25" hidden="1" outlineLevel="1" x14ac:dyDescent="0.25">
      <c r="A94" s="135" t="s">
        <v>12</v>
      </c>
      <c r="B94" s="130" t="s">
        <v>477</v>
      </c>
      <c r="C94" s="149">
        <v>1299</v>
      </c>
      <c r="D94" s="149">
        <v>1299</v>
      </c>
      <c r="E94" s="149">
        <v>0</v>
      </c>
      <c r="F94" s="149">
        <v>1299</v>
      </c>
      <c r="G94" s="149">
        <v>1299</v>
      </c>
      <c r="H94" s="149"/>
      <c r="I94" s="151">
        <f t="shared" si="1"/>
        <v>100</v>
      </c>
      <c r="J94" s="151">
        <f t="shared" si="1"/>
        <v>100</v>
      </c>
      <c r="K94" s="151">
        <f t="shared" si="1"/>
        <v>0</v>
      </c>
      <c r="L94" s="142"/>
      <c r="M94" s="106"/>
    </row>
    <row r="95" spans="1:13" ht="89.25" hidden="1" outlineLevel="1" x14ac:dyDescent="0.25">
      <c r="A95" s="135">
        <v>9</v>
      </c>
      <c r="B95" s="136" t="s">
        <v>478</v>
      </c>
      <c r="C95" s="149">
        <v>28593</v>
      </c>
      <c r="D95" s="149">
        <v>11109</v>
      </c>
      <c r="E95" s="149">
        <v>17484</v>
      </c>
      <c r="F95" s="149">
        <v>28830.422448999998</v>
      </c>
      <c r="G95" s="149">
        <v>11820.532449</v>
      </c>
      <c r="H95" s="149">
        <v>17009.89</v>
      </c>
      <c r="I95" s="151">
        <f t="shared" si="1"/>
        <v>100.83035165599972</v>
      </c>
      <c r="J95" s="151">
        <f t="shared" si="1"/>
        <v>106.40500899270862</v>
      </c>
      <c r="K95" s="151">
        <f t="shared" si="1"/>
        <v>97.288320750400359</v>
      </c>
      <c r="L95" s="142"/>
      <c r="M95" s="106"/>
    </row>
    <row r="96" spans="1:13" ht="25.5" hidden="1" outlineLevel="1" x14ac:dyDescent="0.25">
      <c r="A96" s="129" t="s">
        <v>479</v>
      </c>
      <c r="B96" s="130" t="s">
        <v>221</v>
      </c>
      <c r="C96" s="149">
        <v>10777</v>
      </c>
      <c r="D96" s="149">
        <v>940</v>
      </c>
      <c r="E96" s="149">
        <v>9837</v>
      </c>
      <c r="F96" s="149">
        <v>10737</v>
      </c>
      <c r="G96" s="149">
        <v>900</v>
      </c>
      <c r="H96" s="149">
        <v>9837</v>
      </c>
      <c r="I96" s="151">
        <f t="shared" si="1"/>
        <v>99.628839194581047</v>
      </c>
      <c r="J96" s="151">
        <f t="shared" si="1"/>
        <v>95.744680851063833</v>
      </c>
      <c r="K96" s="151">
        <f t="shared" si="1"/>
        <v>100</v>
      </c>
      <c r="L96" s="142"/>
      <c r="M96" s="106"/>
    </row>
    <row r="97" spans="1:13" ht="25.5" hidden="1" outlineLevel="1" x14ac:dyDescent="0.25">
      <c r="A97" s="129" t="s">
        <v>480</v>
      </c>
      <c r="B97" s="130" t="s">
        <v>222</v>
      </c>
      <c r="C97" s="149">
        <v>6815</v>
      </c>
      <c r="D97" s="149">
        <v>0</v>
      </c>
      <c r="E97" s="149">
        <v>6815</v>
      </c>
      <c r="F97" s="149">
        <v>6400.39</v>
      </c>
      <c r="G97" s="149"/>
      <c r="H97" s="149">
        <v>6400.39</v>
      </c>
      <c r="I97" s="151">
        <f t="shared" si="1"/>
        <v>93.916214233308878</v>
      </c>
      <c r="J97" s="151">
        <f t="shared" si="1"/>
        <v>0</v>
      </c>
      <c r="K97" s="151">
        <f t="shared" si="1"/>
        <v>93.916214233308878</v>
      </c>
      <c r="L97" s="142"/>
      <c r="M97" s="106"/>
    </row>
    <row r="98" spans="1:13" ht="25.5" hidden="1" outlineLevel="1" x14ac:dyDescent="0.25">
      <c r="A98" s="129" t="s">
        <v>481</v>
      </c>
      <c r="B98" s="130" t="s">
        <v>223</v>
      </c>
      <c r="C98" s="149">
        <v>1261</v>
      </c>
      <c r="D98" s="149">
        <v>429</v>
      </c>
      <c r="E98" s="149">
        <v>832</v>
      </c>
      <c r="F98" s="149">
        <v>1231.5</v>
      </c>
      <c r="G98" s="149">
        <v>459</v>
      </c>
      <c r="H98" s="149">
        <v>772.5</v>
      </c>
      <c r="I98" s="151">
        <f t="shared" si="1"/>
        <v>97.660586835844569</v>
      </c>
      <c r="J98" s="151">
        <f t="shared" si="1"/>
        <v>106.993006993007</v>
      </c>
      <c r="K98" s="151">
        <f t="shared" si="1"/>
        <v>92.848557692307693</v>
      </c>
      <c r="L98" s="142"/>
      <c r="M98" s="106"/>
    </row>
    <row r="99" spans="1:13" ht="25.5" hidden="1" outlineLevel="1" x14ac:dyDescent="0.25">
      <c r="A99" s="129" t="s">
        <v>482</v>
      </c>
      <c r="B99" s="130" t="s">
        <v>224</v>
      </c>
      <c r="C99" s="149">
        <v>9740</v>
      </c>
      <c r="D99" s="149">
        <v>9740</v>
      </c>
      <c r="E99" s="149">
        <v>0</v>
      </c>
      <c r="F99" s="149">
        <v>10461.532449</v>
      </c>
      <c r="G99" s="149">
        <v>10461.532449</v>
      </c>
      <c r="H99" s="149"/>
      <c r="I99" s="151">
        <f t="shared" si="1"/>
        <v>107.40793068788501</v>
      </c>
      <c r="J99" s="151">
        <f t="shared" si="1"/>
        <v>107.40793068788501</v>
      </c>
      <c r="K99" s="151">
        <f t="shared" si="1"/>
        <v>0</v>
      </c>
      <c r="L99" s="142"/>
      <c r="M99" s="106"/>
    </row>
    <row r="100" spans="1:13" ht="25.5" hidden="1" outlineLevel="1" x14ac:dyDescent="0.25">
      <c r="A100" s="135">
        <v>10</v>
      </c>
      <c r="B100" s="130" t="s">
        <v>483</v>
      </c>
      <c r="C100" s="149">
        <v>5711</v>
      </c>
      <c r="D100" s="149">
        <v>5144</v>
      </c>
      <c r="E100" s="149">
        <v>567</v>
      </c>
      <c r="F100" s="149">
        <v>5747</v>
      </c>
      <c r="G100" s="149">
        <v>5144</v>
      </c>
      <c r="H100" s="149">
        <v>603</v>
      </c>
      <c r="I100" s="151">
        <f t="shared" si="1"/>
        <v>100.63036245841359</v>
      </c>
      <c r="J100" s="151">
        <f t="shared" si="1"/>
        <v>100</v>
      </c>
      <c r="K100" s="151">
        <f t="shared" si="1"/>
        <v>106.34920634920636</v>
      </c>
      <c r="L100" s="142"/>
      <c r="M100" s="106"/>
    </row>
    <row r="101" spans="1:13" ht="25.5" hidden="1" outlineLevel="1" x14ac:dyDescent="0.25">
      <c r="A101" s="135">
        <v>11</v>
      </c>
      <c r="B101" s="130" t="s">
        <v>484</v>
      </c>
      <c r="C101" s="149">
        <v>9580</v>
      </c>
      <c r="D101" s="149">
        <v>8622</v>
      </c>
      <c r="E101" s="149">
        <v>958</v>
      </c>
      <c r="F101" s="149">
        <v>9030.2000000000007</v>
      </c>
      <c r="G101" s="149">
        <v>8125</v>
      </c>
      <c r="H101" s="149">
        <v>905.2</v>
      </c>
      <c r="I101" s="151">
        <f t="shared" si="1"/>
        <v>94.260960334029235</v>
      </c>
      <c r="J101" s="151">
        <f t="shared" si="1"/>
        <v>94.235676177221066</v>
      </c>
      <c r="K101" s="151">
        <f t="shared" si="1"/>
        <v>94.488517745302715</v>
      </c>
      <c r="L101" s="142"/>
      <c r="M101" s="106"/>
    </row>
    <row r="102" spans="1:13" ht="25.5" hidden="1" outlineLevel="1" x14ac:dyDescent="0.25">
      <c r="A102" s="135">
        <v>12</v>
      </c>
      <c r="B102" s="130" t="s">
        <v>485</v>
      </c>
      <c r="C102" s="149">
        <v>44194</v>
      </c>
      <c r="D102" s="149">
        <v>44194</v>
      </c>
      <c r="E102" s="149">
        <v>0</v>
      </c>
      <c r="F102" s="149">
        <v>43769.3</v>
      </c>
      <c r="G102" s="149">
        <v>43769.3</v>
      </c>
      <c r="H102" s="149"/>
      <c r="I102" s="151">
        <f t="shared" si="1"/>
        <v>99.039009820337611</v>
      </c>
      <c r="J102" s="151">
        <f t="shared" si="1"/>
        <v>99.039009820337611</v>
      </c>
      <c r="K102" s="151">
        <f t="shared" si="1"/>
        <v>0</v>
      </c>
      <c r="L102" s="142"/>
      <c r="M102" s="106"/>
    </row>
    <row r="103" spans="1:13" hidden="1" outlineLevel="1" x14ac:dyDescent="0.25">
      <c r="A103" s="129">
        <v>13</v>
      </c>
      <c r="B103" s="130" t="s">
        <v>247</v>
      </c>
      <c r="C103" s="149">
        <v>167</v>
      </c>
      <c r="D103" s="149">
        <v>167</v>
      </c>
      <c r="E103" s="149">
        <v>0</v>
      </c>
      <c r="F103" s="149">
        <v>167</v>
      </c>
      <c r="G103" s="149">
        <v>167</v>
      </c>
      <c r="H103" s="149"/>
      <c r="I103" s="151">
        <f t="shared" si="1"/>
        <v>100</v>
      </c>
      <c r="J103" s="151">
        <f t="shared" si="1"/>
        <v>100</v>
      </c>
      <c r="K103" s="151">
        <f t="shared" si="1"/>
        <v>0</v>
      </c>
      <c r="L103" s="142"/>
      <c r="M103" s="106"/>
    </row>
    <row r="104" spans="1:13" ht="25.5" hidden="1" outlineLevel="1" x14ac:dyDescent="0.25">
      <c r="A104" s="129">
        <v>14</v>
      </c>
      <c r="B104" s="130" t="s">
        <v>486</v>
      </c>
      <c r="C104" s="149">
        <v>500</v>
      </c>
      <c r="D104" s="149">
        <v>500</v>
      </c>
      <c r="E104" s="149">
        <v>0</v>
      </c>
      <c r="F104" s="149">
        <v>0</v>
      </c>
      <c r="G104" s="149">
        <v>0</v>
      </c>
      <c r="H104" s="149"/>
      <c r="I104" s="151">
        <f t="shared" si="1"/>
        <v>0</v>
      </c>
      <c r="J104" s="151">
        <f t="shared" si="1"/>
        <v>0</v>
      </c>
      <c r="K104" s="151">
        <f t="shared" si="1"/>
        <v>0</v>
      </c>
      <c r="L104" s="142"/>
      <c r="M104" s="106"/>
    </row>
    <row r="105" spans="1:13" hidden="1" outlineLevel="1" x14ac:dyDescent="0.25">
      <c r="A105" s="129">
        <v>15</v>
      </c>
      <c r="B105" s="130" t="s">
        <v>248</v>
      </c>
      <c r="C105" s="149">
        <v>5000</v>
      </c>
      <c r="D105" s="149">
        <v>5000</v>
      </c>
      <c r="E105" s="149">
        <v>0</v>
      </c>
      <c r="F105" s="149">
        <v>5000</v>
      </c>
      <c r="G105" s="149">
        <v>5000</v>
      </c>
      <c r="H105" s="149"/>
      <c r="I105" s="151">
        <f t="shared" si="1"/>
        <v>100</v>
      </c>
      <c r="J105" s="151">
        <f t="shared" si="1"/>
        <v>100</v>
      </c>
      <c r="K105" s="151">
        <f t="shared" si="1"/>
        <v>0</v>
      </c>
      <c r="L105" s="142"/>
      <c r="M105" s="106"/>
    </row>
    <row r="106" spans="1:13" collapsed="1" x14ac:dyDescent="0.25">
      <c r="A106" s="133" t="s">
        <v>31</v>
      </c>
      <c r="B106" s="126" t="s">
        <v>76</v>
      </c>
      <c r="C106" s="118">
        <v>0</v>
      </c>
      <c r="D106" s="118"/>
      <c r="E106" s="118"/>
      <c r="F106" s="118">
        <v>2204821.649613</v>
      </c>
      <c r="G106" s="118">
        <v>1326874.6171550001</v>
      </c>
      <c r="H106" s="118">
        <v>877946.73245800007</v>
      </c>
      <c r="I106" s="147">
        <f t="shared" si="1"/>
        <v>0</v>
      </c>
      <c r="J106" s="147">
        <f t="shared" si="1"/>
        <v>0</v>
      </c>
      <c r="K106" s="147">
        <f t="shared" si="1"/>
        <v>0</v>
      </c>
      <c r="L106" s="142"/>
      <c r="M106" s="106"/>
    </row>
    <row r="107" spans="1:13" x14ac:dyDescent="0.25">
      <c r="A107" s="167" t="s">
        <v>32</v>
      </c>
      <c r="B107" s="168" t="s">
        <v>249</v>
      </c>
      <c r="C107" s="169">
        <v>0</v>
      </c>
      <c r="D107" s="169"/>
      <c r="E107" s="169"/>
      <c r="F107" s="169">
        <v>429889.49046399997</v>
      </c>
      <c r="G107" s="169">
        <v>331567.81606899999</v>
      </c>
      <c r="H107" s="169">
        <v>98321.674394999995</v>
      </c>
      <c r="I107" s="170">
        <f t="shared" si="1"/>
        <v>0</v>
      </c>
      <c r="J107" s="170">
        <f t="shared" si="1"/>
        <v>0</v>
      </c>
      <c r="K107" s="170">
        <f t="shared" si="1"/>
        <v>0</v>
      </c>
      <c r="L107" s="142"/>
      <c r="M107" s="106"/>
    </row>
    <row r="109" spans="1:13" ht="27" customHeight="1" x14ac:dyDescent="0.25">
      <c r="A109" s="343" t="s">
        <v>492</v>
      </c>
      <c r="B109" s="343"/>
      <c r="C109" s="343"/>
      <c r="D109" s="343"/>
      <c r="E109" s="343"/>
      <c r="F109" s="343"/>
      <c r="G109" s="343"/>
      <c r="H109" s="343"/>
      <c r="I109" s="343"/>
      <c r="J109" s="343"/>
      <c r="K109" s="343"/>
    </row>
  </sheetData>
  <mergeCells count="11">
    <mergeCell ref="A109:K109"/>
    <mergeCell ref="A2:K2"/>
    <mergeCell ref="A3:K3"/>
    <mergeCell ref="J4:K4"/>
    <mergeCell ref="A5:A6"/>
    <mergeCell ref="B5:B6"/>
    <mergeCell ref="C5:C6"/>
    <mergeCell ref="D5:E5"/>
    <mergeCell ref="F5:F6"/>
    <mergeCell ref="G5:H5"/>
    <mergeCell ref="I5:K5"/>
  </mergeCells>
  <dataValidations count="2">
    <dataValidation allowBlank="1" showInputMessage="1" showErrorMessage="1" prompt="Chưa bao gồm chi chuyển giao ngân sách _x000a_" sqref="G8" xr:uid="{00000000-0002-0000-0700-000000000000}"/>
    <dataValidation allowBlank="1" showInputMessage="1" showErrorMessage="1" prompt="Chưa bao gồm chi chuyển giao ngân sách " sqref="F8 H8" xr:uid="{00000000-0002-0000-0700-000001000000}"/>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N52"/>
  <sheetViews>
    <sheetView topLeftCell="A19" workbookViewId="0">
      <selection activeCell="C39" sqref="C39"/>
    </sheetView>
  </sheetViews>
  <sheetFormatPr defaultColWidth="9.140625" defaultRowHeight="15" x14ac:dyDescent="0.25"/>
  <cols>
    <col min="1" max="1" width="5.42578125" style="197" customWidth="1"/>
    <col min="2" max="2" width="37" style="175" customWidth="1"/>
    <col min="3" max="3" width="13" style="175" customWidth="1"/>
    <col min="4" max="4" width="12.28515625" style="175" customWidth="1"/>
    <col min="5" max="5" width="11.28515625" style="175" customWidth="1"/>
    <col min="6" max="6" width="12.140625" style="175" customWidth="1"/>
    <col min="7" max="7" width="18.7109375" style="175" customWidth="1"/>
    <col min="8" max="8" width="11.140625" style="175" customWidth="1"/>
    <col min="9" max="16384" width="9.140625" style="175"/>
  </cols>
  <sheetData>
    <row r="1" spans="1:14" x14ac:dyDescent="0.25">
      <c r="A1" s="174"/>
      <c r="E1" s="176" t="s">
        <v>493</v>
      </c>
    </row>
    <row r="2" spans="1:14" ht="24.75" customHeight="1" x14ac:dyDescent="0.25">
      <c r="A2" s="347" t="s">
        <v>494</v>
      </c>
      <c r="B2" s="347"/>
      <c r="C2" s="347"/>
      <c r="D2" s="347"/>
      <c r="E2" s="347"/>
      <c r="F2" s="347"/>
    </row>
    <row r="3" spans="1:14" x14ac:dyDescent="0.25">
      <c r="A3" s="342" t="s">
        <v>489</v>
      </c>
      <c r="B3" s="342"/>
      <c r="C3" s="342"/>
      <c r="D3" s="342"/>
      <c r="E3" s="342"/>
      <c r="F3" s="342"/>
    </row>
    <row r="4" spans="1:14" x14ac:dyDescent="0.25">
      <c r="A4" s="177"/>
      <c r="B4" s="178"/>
      <c r="C4" s="178"/>
      <c r="D4" s="178"/>
      <c r="E4" s="348" t="s">
        <v>490</v>
      </c>
      <c r="F4" s="348"/>
    </row>
    <row r="5" spans="1:14" x14ac:dyDescent="0.25">
      <c r="A5" s="349" t="s">
        <v>2</v>
      </c>
      <c r="B5" s="349" t="s">
        <v>123</v>
      </c>
      <c r="C5" s="349" t="s">
        <v>107</v>
      </c>
      <c r="D5" s="349" t="s">
        <v>108</v>
      </c>
      <c r="E5" s="349" t="s">
        <v>495</v>
      </c>
      <c r="F5" s="349"/>
      <c r="G5" s="180"/>
      <c r="H5" s="181"/>
      <c r="I5" s="181"/>
      <c r="J5" s="181"/>
      <c r="K5" s="181"/>
    </row>
    <row r="6" spans="1:14" ht="25.5" x14ac:dyDescent="0.25">
      <c r="A6" s="349"/>
      <c r="B6" s="349"/>
      <c r="C6" s="349"/>
      <c r="D6" s="349"/>
      <c r="E6" s="179" t="s">
        <v>496</v>
      </c>
      <c r="F6" s="179" t="s">
        <v>497</v>
      </c>
      <c r="G6" s="180"/>
      <c r="H6" s="181"/>
      <c r="I6" s="181"/>
      <c r="J6" s="181"/>
      <c r="K6" s="181"/>
    </row>
    <row r="7" spans="1:14" x14ac:dyDescent="0.25">
      <c r="A7" s="179" t="s">
        <v>7</v>
      </c>
      <c r="B7" s="182" t="s">
        <v>8</v>
      </c>
      <c r="C7" s="182" t="s">
        <v>259</v>
      </c>
      <c r="D7" s="182" t="s">
        <v>261</v>
      </c>
      <c r="E7" s="179" t="s">
        <v>498</v>
      </c>
      <c r="F7" s="179" t="s">
        <v>499</v>
      </c>
      <c r="H7" s="183">
        <f>D8+'[2]Bieu 54_'!T116</f>
        <v>8083350.7662559999</v>
      </c>
      <c r="I7" s="181"/>
      <c r="J7" s="181"/>
      <c r="K7" s="181"/>
    </row>
    <row r="8" spans="1:14" ht="18" customHeight="1" x14ac:dyDescent="0.25">
      <c r="A8" s="184"/>
      <c r="B8" s="185" t="s">
        <v>20</v>
      </c>
      <c r="C8" s="186">
        <f>C9+C10+C47+C48</f>
        <v>6517057.4886699999</v>
      </c>
      <c r="D8" s="186">
        <f>D9+D10+D47+D48</f>
        <v>7549860.6582559999</v>
      </c>
      <c r="E8" s="186">
        <f>E9+E10+E47+E48</f>
        <v>1032803.1695860004</v>
      </c>
      <c r="F8" s="187">
        <f t="shared" ref="F8:F12" si="0">IF(C8=0,0,D8/C8*100)</f>
        <v>115.84769155990328</v>
      </c>
      <c r="G8" s="180"/>
      <c r="H8" s="183">
        <f>H9-D8</f>
        <v>532301.65380400047</v>
      </c>
      <c r="I8" s="183"/>
      <c r="J8" s="181"/>
      <c r="K8" s="181"/>
    </row>
    <row r="9" spans="1:14" ht="25.5" x14ac:dyDescent="0.25">
      <c r="A9" s="131" t="s">
        <v>7</v>
      </c>
      <c r="B9" s="132" t="s">
        <v>500</v>
      </c>
      <c r="C9" s="188">
        <v>2007071</v>
      </c>
      <c r="D9" s="188">
        <f>C9</f>
        <v>2007071</v>
      </c>
      <c r="E9" s="188">
        <f t="shared" ref="E9:E12" si="1">D9-C9</f>
        <v>0</v>
      </c>
      <c r="F9" s="189">
        <f t="shared" si="0"/>
        <v>100</v>
      </c>
      <c r="H9" s="181">
        <v>8082162.3120600004</v>
      </c>
      <c r="I9" s="183"/>
      <c r="J9" s="181"/>
      <c r="K9" s="181"/>
    </row>
    <row r="10" spans="1:14" ht="25.5" x14ac:dyDescent="0.25">
      <c r="A10" s="131" t="s">
        <v>8</v>
      </c>
      <c r="B10" s="132" t="s">
        <v>501</v>
      </c>
      <c r="C10" s="188">
        <f>C11+C27+C40+C41+C42+C44+C45+C43</f>
        <v>4509986.4886699999</v>
      </c>
      <c r="D10" s="188">
        <f>D11+D27+D40+D41+D42+D44+D45+D46+D43</f>
        <v>3884347.2252560002</v>
      </c>
      <c r="E10" s="188">
        <f t="shared" si="1"/>
        <v>-625639.2634139997</v>
      </c>
      <c r="F10" s="189">
        <f t="shared" si="0"/>
        <v>86.127690959036514</v>
      </c>
      <c r="G10" s="180"/>
      <c r="H10" s="183">
        <f>H9-D8</f>
        <v>532301.65380400047</v>
      </c>
      <c r="I10" s="183"/>
      <c r="J10" s="181"/>
      <c r="K10" s="181"/>
    </row>
    <row r="11" spans="1:14" x14ac:dyDescent="0.25">
      <c r="A11" s="131" t="s">
        <v>39</v>
      </c>
      <c r="B11" s="132" t="s">
        <v>155</v>
      </c>
      <c r="C11" s="188">
        <f>C12+C25+C26</f>
        <v>1748520.58867</v>
      </c>
      <c r="D11" s="188">
        <f>D12+D25+D26</f>
        <v>1952820.160159</v>
      </c>
      <c r="E11" s="188">
        <f t="shared" si="1"/>
        <v>204299.57148899999</v>
      </c>
      <c r="F11" s="189">
        <f t="shared" si="0"/>
        <v>111.68413874064811</v>
      </c>
      <c r="H11" s="183">
        <f>D8-D9</f>
        <v>5542789.6582559999</v>
      </c>
      <c r="I11" s="183">
        <f>H11+'[2]Bieu 54_'!T116</f>
        <v>6076279.7662559999</v>
      </c>
      <c r="J11" s="181"/>
      <c r="K11" s="181"/>
    </row>
    <row r="12" spans="1:14" x14ac:dyDescent="0.25">
      <c r="A12" s="131">
        <v>1</v>
      </c>
      <c r="B12" s="132" t="s">
        <v>66</v>
      </c>
      <c r="C12" s="188">
        <f>SUM(C13:C24)</f>
        <v>1748520.58867</v>
      </c>
      <c r="D12" s="188">
        <f>SUM(D13:D24)</f>
        <v>1943224.160159</v>
      </c>
      <c r="E12" s="188">
        <f t="shared" si="1"/>
        <v>194703.57148899999</v>
      </c>
      <c r="F12" s="189">
        <f t="shared" si="0"/>
        <v>111.13533193435829</v>
      </c>
      <c r="H12" s="181"/>
      <c r="I12" s="181"/>
      <c r="J12" s="183"/>
      <c r="K12" s="181"/>
    </row>
    <row r="13" spans="1:14" x14ac:dyDescent="0.25">
      <c r="A13" s="129" t="s">
        <v>78</v>
      </c>
      <c r="B13" s="130" t="s">
        <v>67</v>
      </c>
      <c r="C13" s="190">
        <v>41847.006000000001</v>
      </c>
      <c r="D13" s="190">
        <v>46781.483200000002</v>
      </c>
      <c r="E13" s="190">
        <f>D13-C13</f>
        <v>4934.4772000000012</v>
      </c>
      <c r="F13" s="191">
        <f>IF(C13=0,0,D13/C13*100)</f>
        <v>111.79170906515989</v>
      </c>
      <c r="G13" s="180"/>
      <c r="H13" s="181"/>
      <c r="I13" s="183"/>
      <c r="J13" s="181"/>
      <c r="K13" s="181"/>
    </row>
    <row r="14" spans="1:14" x14ac:dyDescent="0.25">
      <c r="A14" s="129" t="s">
        <v>79</v>
      </c>
      <c r="B14" s="130" t="s">
        <v>68</v>
      </c>
      <c r="C14" s="190">
        <v>27508.376</v>
      </c>
      <c r="D14" s="190">
        <v>17646.610184000001</v>
      </c>
      <c r="E14" s="190">
        <f>D14-C14</f>
        <v>-9861.7658159999992</v>
      </c>
      <c r="F14" s="191">
        <f t="shared" ref="F14:F48" si="2">IF(C14=0,0,D14/C14*100)</f>
        <v>64.149952668961632</v>
      </c>
      <c r="H14" s="183"/>
      <c r="I14" s="181"/>
      <c r="J14" s="183">
        <f>513733</f>
        <v>513733</v>
      </c>
      <c r="K14" s="181"/>
      <c r="N14" s="180"/>
    </row>
    <row r="15" spans="1:14" x14ac:dyDescent="0.25">
      <c r="A15" s="129" t="s">
        <v>80</v>
      </c>
      <c r="B15" s="130" t="s">
        <v>81</v>
      </c>
      <c r="C15" s="190">
        <v>70854.079670000006</v>
      </c>
      <c r="D15" s="190">
        <v>76839.697169999999</v>
      </c>
      <c r="E15" s="190">
        <f t="shared" ref="E15:E26" si="3">D15-C15</f>
        <v>5985.617499999993</v>
      </c>
      <c r="F15" s="191">
        <f t="shared" si="2"/>
        <v>108.44780925513078</v>
      </c>
      <c r="H15" s="181"/>
      <c r="I15" s="181"/>
      <c r="J15" s="183">
        <f>C11-J14</f>
        <v>1234787.58867</v>
      </c>
      <c r="K15" s="181"/>
    </row>
    <row r="16" spans="1:14" x14ac:dyDescent="0.25">
      <c r="A16" s="129" t="s">
        <v>82</v>
      </c>
      <c r="B16" s="130" t="s">
        <v>83</v>
      </c>
      <c r="C16" s="190">
        <v>3619.26</v>
      </c>
      <c r="D16" s="192">
        <v>7563.8</v>
      </c>
      <c r="E16" s="190">
        <f t="shared" si="3"/>
        <v>3944.54</v>
      </c>
      <c r="F16" s="191">
        <f t="shared" si="2"/>
        <v>208.98747257726717</v>
      </c>
      <c r="H16" s="181"/>
      <c r="I16" s="181"/>
      <c r="J16" s="183"/>
      <c r="K16" s="181"/>
    </row>
    <row r="17" spans="1:11" x14ac:dyDescent="0.25">
      <c r="A17" s="129" t="s">
        <v>84</v>
      </c>
      <c r="B17" s="130" t="s">
        <v>85</v>
      </c>
      <c r="C17" s="190">
        <v>1200</v>
      </c>
      <c r="D17" s="190">
        <v>1933.806</v>
      </c>
      <c r="E17" s="190">
        <f t="shared" si="3"/>
        <v>733.80600000000004</v>
      </c>
      <c r="F17" s="191">
        <f t="shared" si="2"/>
        <v>161.15049999999999</v>
      </c>
      <c r="H17" s="181"/>
      <c r="I17" s="181"/>
      <c r="J17" s="181"/>
      <c r="K17" s="181"/>
    </row>
    <row r="18" spans="1:11" x14ac:dyDescent="0.25">
      <c r="A18" s="129" t="s">
        <v>86</v>
      </c>
      <c r="B18" s="130" t="s">
        <v>87</v>
      </c>
      <c r="C18" s="190">
        <v>16698</v>
      </c>
      <c r="D18" s="190">
        <v>2808.5709999999999</v>
      </c>
      <c r="E18" s="190">
        <f t="shared" si="3"/>
        <v>-13889.429</v>
      </c>
      <c r="F18" s="191">
        <f t="shared" si="2"/>
        <v>16.819804767037969</v>
      </c>
      <c r="H18" s="183"/>
      <c r="I18" s="181"/>
      <c r="J18" s="181"/>
      <c r="K18" s="181"/>
    </row>
    <row r="19" spans="1:11" x14ac:dyDescent="0.25">
      <c r="A19" s="129" t="s">
        <v>88</v>
      </c>
      <c r="B19" s="130" t="s">
        <v>89</v>
      </c>
      <c r="C19" s="190">
        <v>9945.4419999999991</v>
      </c>
      <c r="D19" s="190">
        <v>9827.9020400000009</v>
      </c>
      <c r="E19" s="190">
        <f t="shared" si="3"/>
        <v>-117.53995999999825</v>
      </c>
      <c r="F19" s="191">
        <f t="shared" si="2"/>
        <v>98.818152476280105</v>
      </c>
      <c r="H19" s="181"/>
      <c r="I19" s="181"/>
      <c r="J19" s="181"/>
      <c r="K19" s="181"/>
    </row>
    <row r="20" spans="1:11" x14ac:dyDescent="0.25">
      <c r="A20" s="129" t="s">
        <v>90</v>
      </c>
      <c r="B20" s="130" t="s">
        <v>91</v>
      </c>
      <c r="C20" s="190">
        <v>1399596.838</v>
      </c>
      <c r="D20" s="190">
        <f>1660954.771322-D43-D44</f>
        <v>1590367.258225</v>
      </c>
      <c r="E20" s="190">
        <f t="shared" si="3"/>
        <v>190770.42022500001</v>
      </c>
      <c r="F20" s="191">
        <f t="shared" si="2"/>
        <v>113.63038376805765</v>
      </c>
      <c r="H20" s="193"/>
      <c r="I20" s="181"/>
      <c r="J20" s="181"/>
      <c r="K20" s="181"/>
    </row>
    <row r="21" spans="1:11" ht="25.5" x14ac:dyDescent="0.25">
      <c r="A21" s="129" t="s">
        <v>92</v>
      </c>
      <c r="B21" s="130" t="s">
        <v>93</v>
      </c>
      <c r="C21" s="190">
        <v>49364.587</v>
      </c>
      <c r="D21" s="190">
        <v>56657.996232999998</v>
      </c>
      <c r="E21" s="190">
        <f t="shared" si="3"/>
        <v>7293.4092329999985</v>
      </c>
      <c r="F21" s="191">
        <f t="shared" si="2"/>
        <v>114.77457764003979</v>
      </c>
    </row>
    <row r="22" spans="1:11" x14ac:dyDescent="0.25">
      <c r="A22" s="129" t="s">
        <v>94</v>
      </c>
      <c r="B22" s="130" t="s">
        <v>95</v>
      </c>
      <c r="C22" s="190">
        <v>1354</v>
      </c>
      <c r="D22" s="190">
        <v>1354</v>
      </c>
      <c r="E22" s="190">
        <f t="shared" si="3"/>
        <v>0</v>
      </c>
      <c r="F22" s="191">
        <f t="shared" si="2"/>
        <v>100</v>
      </c>
    </row>
    <row r="23" spans="1:11" ht="25.5" x14ac:dyDescent="0.25">
      <c r="A23" s="129" t="s">
        <v>502</v>
      </c>
      <c r="B23" s="130" t="s">
        <v>503</v>
      </c>
      <c r="C23" s="190">
        <v>126533</v>
      </c>
      <c r="D23" s="190">
        <v>131443.03610699999</v>
      </c>
      <c r="E23" s="190">
        <f t="shared" si="3"/>
        <v>4910.0361069999926</v>
      </c>
      <c r="F23" s="191">
        <f t="shared" si="2"/>
        <v>103.88043917950259</v>
      </c>
    </row>
    <row r="24" spans="1:11" x14ac:dyDescent="0.25">
      <c r="A24" s="129" t="s">
        <v>504</v>
      </c>
      <c r="B24" s="130" t="s">
        <v>71</v>
      </c>
      <c r="C24" s="190"/>
      <c r="D24" s="190"/>
      <c r="E24" s="190">
        <f t="shared" si="3"/>
        <v>0</v>
      </c>
      <c r="F24" s="191">
        <f t="shared" si="2"/>
        <v>0</v>
      </c>
    </row>
    <row r="25" spans="1:11" ht="71.25" customHeight="1" x14ac:dyDescent="0.25">
      <c r="A25" s="131">
        <v>2</v>
      </c>
      <c r="B25" s="132" t="s">
        <v>202</v>
      </c>
      <c r="C25" s="188"/>
      <c r="D25" s="188">
        <v>9596</v>
      </c>
      <c r="E25" s="188">
        <f t="shared" si="3"/>
        <v>9596</v>
      </c>
      <c r="F25" s="189">
        <f t="shared" si="2"/>
        <v>0</v>
      </c>
    </row>
    <row r="26" spans="1:11" x14ac:dyDescent="0.25">
      <c r="A26" s="131">
        <v>3</v>
      </c>
      <c r="B26" s="132" t="s">
        <v>71</v>
      </c>
      <c r="C26" s="188">
        <v>0</v>
      </c>
      <c r="D26" s="188"/>
      <c r="E26" s="188">
        <f t="shared" si="3"/>
        <v>0</v>
      </c>
      <c r="F26" s="189">
        <f t="shared" si="2"/>
        <v>0</v>
      </c>
    </row>
    <row r="27" spans="1:11" x14ac:dyDescent="0.25">
      <c r="A27" s="131" t="s">
        <v>25</v>
      </c>
      <c r="B27" s="132" t="s">
        <v>22</v>
      </c>
      <c r="C27" s="188">
        <f>SUM(C28:C39)</f>
        <v>1779288.9</v>
      </c>
      <c r="D27" s="188">
        <f>SUM(D28:D39)</f>
        <v>1838539</v>
      </c>
      <c r="E27" s="188">
        <f>SUM(E28:E39)</f>
        <v>59250.099999999977</v>
      </c>
      <c r="F27" s="189">
        <f t="shared" si="2"/>
        <v>103.32998761471508</v>
      </c>
      <c r="H27" s="180"/>
      <c r="I27" s="180"/>
    </row>
    <row r="28" spans="1:11" x14ac:dyDescent="0.25">
      <c r="A28" s="129">
        <v>1</v>
      </c>
      <c r="B28" s="130" t="s">
        <v>67</v>
      </c>
      <c r="C28" s="190">
        <f>385819+2479+654+6637</f>
        <v>395589</v>
      </c>
      <c r="D28" s="190">
        <v>426326</v>
      </c>
      <c r="E28" s="190">
        <f t="shared" ref="E28:E48" si="4">D28-C28</f>
        <v>30737</v>
      </c>
      <c r="F28" s="191">
        <f t="shared" si="2"/>
        <v>107.76993293544564</v>
      </c>
      <c r="H28" s="180"/>
      <c r="J28" s="180"/>
    </row>
    <row r="29" spans="1:11" x14ac:dyDescent="0.25">
      <c r="A29" s="129">
        <v>2</v>
      </c>
      <c r="B29" s="130" t="s">
        <v>505</v>
      </c>
      <c r="C29" s="190">
        <f>14942+500</f>
        <v>15442</v>
      </c>
      <c r="D29" s="190">
        <v>7465</v>
      </c>
      <c r="E29" s="190">
        <f t="shared" si="4"/>
        <v>-7977</v>
      </c>
      <c r="F29" s="191">
        <f t="shared" si="2"/>
        <v>48.342183654966973</v>
      </c>
      <c r="H29" s="180"/>
    </row>
    <row r="30" spans="1:11" x14ac:dyDescent="0.25">
      <c r="A30" s="129">
        <v>3</v>
      </c>
      <c r="B30" s="130" t="s">
        <v>81</v>
      </c>
      <c r="C30" s="190">
        <f>484362+4683+29575+6381+2156</f>
        <v>527157</v>
      </c>
      <c r="D30" s="190">
        <v>574150</v>
      </c>
      <c r="E30" s="190">
        <f t="shared" si="4"/>
        <v>46993</v>
      </c>
      <c r="F30" s="191">
        <f t="shared" si="2"/>
        <v>108.91442207919081</v>
      </c>
    </row>
    <row r="31" spans="1:11" x14ac:dyDescent="0.25">
      <c r="A31" s="129">
        <v>4</v>
      </c>
      <c r="B31" s="130" t="s">
        <v>83</v>
      </c>
      <c r="C31" s="190">
        <v>42130</v>
      </c>
      <c r="D31" s="190">
        <v>32063</v>
      </c>
      <c r="E31" s="190">
        <f t="shared" si="4"/>
        <v>-10067</v>
      </c>
      <c r="F31" s="191">
        <f t="shared" si="2"/>
        <v>76.104913363399007</v>
      </c>
      <c r="H31" s="180"/>
    </row>
    <row r="32" spans="1:11" x14ac:dyDescent="0.25">
      <c r="A32" s="129">
        <v>5</v>
      </c>
      <c r="B32" s="130" t="s">
        <v>85</v>
      </c>
      <c r="C32" s="190">
        <v>16918</v>
      </c>
      <c r="D32" s="190">
        <v>17009</v>
      </c>
      <c r="E32" s="190">
        <f t="shared" si="4"/>
        <v>91</v>
      </c>
      <c r="F32" s="191">
        <f t="shared" si="2"/>
        <v>100.53788863931908</v>
      </c>
    </row>
    <row r="33" spans="1:9" x14ac:dyDescent="0.25">
      <c r="A33" s="129">
        <v>6</v>
      </c>
      <c r="B33" s="130" t="s">
        <v>87</v>
      </c>
      <c r="C33" s="190">
        <v>13216</v>
      </c>
      <c r="D33" s="190">
        <v>9172</v>
      </c>
      <c r="E33" s="190">
        <f t="shared" si="4"/>
        <v>-4044</v>
      </c>
      <c r="F33" s="191">
        <f t="shared" si="2"/>
        <v>69.400726392251826</v>
      </c>
    </row>
    <row r="34" spans="1:9" x14ac:dyDescent="0.25">
      <c r="A34" s="129">
        <v>7</v>
      </c>
      <c r="B34" s="130" t="s">
        <v>89</v>
      </c>
      <c r="C34" s="190">
        <v>5658</v>
      </c>
      <c r="D34" s="190">
        <v>4748</v>
      </c>
      <c r="E34" s="190">
        <f t="shared" si="4"/>
        <v>-910</v>
      </c>
      <c r="F34" s="191">
        <f t="shared" si="2"/>
        <v>83.91657829621775</v>
      </c>
    </row>
    <row r="35" spans="1:9" x14ac:dyDescent="0.25">
      <c r="A35" s="129">
        <v>8</v>
      </c>
      <c r="B35" s="130" t="s">
        <v>91</v>
      </c>
      <c r="C35" s="190">
        <f>197165.5+5144+44194+1829</f>
        <v>248332.5</v>
      </c>
      <c r="D35" s="190">
        <v>316499</v>
      </c>
      <c r="E35" s="190">
        <f t="shared" si="4"/>
        <v>68166.5</v>
      </c>
      <c r="F35" s="191">
        <f t="shared" si="2"/>
        <v>127.44968942848803</v>
      </c>
    </row>
    <row r="36" spans="1:9" ht="25.5" x14ac:dyDescent="0.25">
      <c r="A36" s="129">
        <v>9</v>
      </c>
      <c r="B36" s="130" t="s">
        <v>93</v>
      </c>
      <c r="C36" s="190">
        <f>342545.4</f>
        <v>342545.4</v>
      </c>
      <c r="D36" s="190">
        <v>324866</v>
      </c>
      <c r="E36" s="190">
        <f t="shared" si="4"/>
        <v>-17679.400000000023</v>
      </c>
      <c r="F36" s="191">
        <f t="shared" si="2"/>
        <v>94.838815526350658</v>
      </c>
    </row>
    <row r="37" spans="1:9" x14ac:dyDescent="0.25">
      <c r="A37" s="129">
        <v>10</v>
      </c>
      <c r="B37" s="130" t="s">
        <v>95</v>
      </c>
      <c r="C37" s="190">
        <f>38788+11500+196+11109</f>
        <v>61593</v>
      </c>
      <c r="D37" s="190">
        <v>25149</v>
      </c>
      <c r="E37" s="190">
        <f t="shared" si="4"/>
        <v>-36444</v>
      </c>
      <c r="F37" s="191">
        <f t="shared" si="2"/>
        <v>40.830938580682869</v>
      </c>
    </row>
    <row r="38" spans="1:9" ht="25.5" x14ac:dyDescent="0.25">
      <c r="A38" s="129">
        <v>11</v>
      </c>
      <c r="B38" s="130" t="s">
        <v>503</v>
      </c>
      <c r="C38" s="190">
        <f>65501+1288+8622+5000</f>
        <v>80411</v>
      </c>
      <c r="D38" s="190">
        <f>70465+25483</f>
        <v>95948</v>
      </c>
      <c r="E38" s="190">
        <f t="shared" si="4"/>
        <v>15537</v>
      </c>
      <c r="F38" s="191">
        <f t="shared" si="2"/>
        <v>119.32198331074106</v>
      </c>
    </row>
    <row r="39" spans="1:9" x14ac:dyDescent="0.25">
      <c r="A39" s="129">
        <v>12</v>
      </c>
      <c r="B39" s="130" t="s">
        <v>506</v>
      </c>
      <c r="C39" s="190">
        <f>29462+668+167</f>
        <v>30297</v>
      </c>
      <c r="D39" s="190">
        <v>5144</v>
      </c>
      <c r="E39" s="190">
        <f t="shared" si="4"/>
        <v>-25153</v>
      </c>
      <c r="F39" s="191">
        <f t="shared" si="2"/>
        <v>16.978578737168696</v>
      </c>
      <c r="H39" s="180"/>
    </row>
    <row r="40" spans="1:9" ht="25.5" x14ac:dyDescent="0.25">
      <c r="A40" s="131" t="s">
        <v>29</v>
      </c>
      <c r="B40" s="126" t="s">
        <v>507</v>
      </c>
      <c r="C40" s="188">
        <v>2000</v>
      </c>
      <c r="D40" s="188">
        <f>'[2]Bieu 51_'!D24</f>
        <v>9500.851999999999</v>
      </c>
      <c r="E40" s="188">
        <f t="shared" si="4"/>
        <v>7500.851999999999</v>
      </c>
      <c r="F40" s="189">
        <f t="shared" si="2"/>
        <v>475.04259999999994</v>
      </c>
      <c r="I40" s="194"/>
    </row>
    <row r="41" spans="1:9" x14ac:dyDescent="0.25">
      <c r="A41" s="131" t="s">
        <v>56</v>
      </c>
      <c r="B41" s="132" t="s">
        <v>508</v>
      </c>
      <c r="C41" s="188">
        <v>1000</v>
      </c>
      <c r="D41" s="188">
        <v>1000</v>
      </c>
      <c r="E41" s="188">
        <f t="shared" si="4"/>
        <v>0</v>
      </c>
      <c r="F41" s="189">
        <f t="shared" si="2"/>
        <v>100</v>
      </c>
    </row>
    <row r="42" spans="1:9" x14ac:dyDescent="0.25">
      <c r="A42" s="131" t="s">
        <v>73</v>
      </c>
      <c r="B42" s="132" t="s">
        <v>24</v>
      </c>
      <c r="C42" s="188">
        <v>66785</v>
      </c>
      <c r="D42" s="188"/>
      <c r="E42" s="188">
        <f t="shared" si="4"/>
        <v>-66785</v>
      </c>
      <c r="F42" s="189">
        <f t="shared" si="2"/>
        <v>0</v>
      </c>
    </row>
    <row r="43" spans="1:9" x14ac:dyDescent="0.25">
      <c r="A43" s="131" t="s">
        <v>74</v>
      </c>
      <c r="B43" s="132" t="s">
        <v>243</v>
      </c>
      <c r="C43" s="188">
        <v>83900</v>
      </c>
      <c r="D43" s="188">
        <v>19277.513097000003</v>
      </c>
      <c r="E43" s="188">
        <f t="shared" si="4"/>
        <v>-64622.486902999997</v>
      </c>
      <c r="F43" s="189">
        <f t="shared" si="2"/>
        <v>22.976773655542317</v>
      </c>
    </row>
    <row r="44" spans="1:9" ht="76.5" x14ac:dyDescent="0.25">
      <c r="A44" s="131" t="s">
        <v>383</v>
      </c>
      <c r="B44" s="132" t="s">
        <v>436</v>
      </c>
      <c r="C44" s="188">
        <v>789492</v>
      </c>
      <c r="D44" s="188">
        <f>'[2]Bieu 51_'!D27</f>
        <v>51310</v>
      </c>
      <c r="E44" s="188">
        <f t="shared" si="4"/>
        <v>-738182</v>
      </c>
      <c r="F44" s="189">
        <f t="shared" si="2"/>
        <v>6.4991158871780836</v>
      </c>
    </row>
    <row r="45" spans="1:9" x14ac:dyDescent="0.25">
      <c r="A45" s="131" t="s">
        <v>384</v>
      </c>
      <c r="B45" s="132" t="s">
        <v>425</v>
      </c>
      <c r="C45" s="188">
        <v>39000</v>
      </c>
      <c r="D45" s="188"/>
      <c r="E45" s="188">
        <f>D45-C45</f>
        <v>-39000</v>
      </c>
      <c r="F45" s="189">
        <f t="shared" si="2"/>
        <v>0</v>
      </c>
    </row>
    <row r="46" spans="1:9" x14ac:dyDescent="0.25">
      <c r="A46" s="131" t="s">
        <v>509</v>
      </c>
      <c r="B46" s="132" t="s">
        <v>437</v>
      </c>
      <c r="C46" s="188"/>
      <c r="D46" s="188">
        <v>11899.7</v>
      </c>
      <c r="E46" s="188"/>
      <c r="F46" s="189"/>
    </row>
    <row r="47" spans="1:9" x14ac:dyDescent="0.25">
      <c r="A47" s="131" t="s">
        <v>31</v>
      </c>
      <c r="B47" s="132" t="s">
        <v>76</v>
      </c>
      <c r="C47" s="188"/>
      <c r="D47" s="188">
        <v>1326874.6170000001</v>
      </c>
      <c r="E47" s="188">
        <f t="shared" si="4"/>
        <v>1326874.6170000001</v>
      </c>
      <c r="F47" s="189">
        <f t="shared" si="2"/>
        <v>0</v>
      </c>
      <c r="I47" s="180"/>
    </row>
    <row r="48" spans="1:9" x14ac:dyDescent="0.25">
      <c r="A48" s="137" t="s">
        <v>32</v>
      </c>
      <c r="B48" s="138" t="s">
        <v>510</v>
      </c>
      <c r="C48" s="195"/>
      <c r="D48" s="195">
        <v>331567.81599999999</v>
      </c>
      <c r="E48" s="195">
        <f t="shared" si="4"/>
        <v>331567.81599999999</v>
      </c>
      <c r="F48" s="196">
        <f t="shared" si="2"/>
        <v>0</v>
      </c>
    </row>
    <row r="49" spans="1:6" ht="30" customHeight="1" x14ac:dyDescent="0.25">
      <c r="A49" s="345" t="s">
        <v>511</v>
      </c>
      <c r="B49" s="345"/>
      <c r="C49" s="345"/>
      <c r="D49" s="345"/>
      <c r="E49" s="345"/>
      <c r="F49" s="345"/>
    </row>
    <row r="50" spans="1:6" ht="34.5" customHeight="1" x14ac:dyDescent="0.25">
      <c r="A50" s="346" t="s">
        <v>512</v>
      </c>
      <c r="B50" s="346"/>
      <c r="C50" s="346"/>
      <c r="D50" s="346"/>
      <c r="E50" s="346"/>
      <c r="F50" s="346"/>
    </row>
    <row r="51" spans="1:6" ht="34.5" customHeight="1" x14ac:dyDescent="0.25">
      <c r="A51" s="346" t="s">
        <v>513</v>
      </c>
      <c r="B51" s="346"/>
      <c r="C51" s="346"/>
      <c r="D51" s="346"/>
      <c r="E51" s="346"/>
      <c r="F51" s="346"/>
    </row>
    <row r="52" spans="1:6" x14ac:dyDescent="0.25">
      <c r="A52" s="346"/>
      <c r="B52" s="346"/>
      <c r="C52" s="346"/>
      <c r="D52" s="346"/>
      <c r="E52" s="346"/>
      <c r="F52" s="346"/>
    </row>
  </sheetData>
  <mergeCells count="12">
    <mergeCell ref="A49:F49"/>
    <mergeCell ref="A50:F50"/>
    <mergeCell ref="A51:F51"/>
    <mergeCell ref="A52:F52"/>
    <mergeCell ref="A2:F2"/>
    <mergeCell ref="A3:F3"/>
    <mergeCell ref="E4:F4"/>
    <mergeCell ref="A5:A6"/>
    <mergeCell ref="B5:B6"/>
    <mergeCell ref="C5:C6"/>
    <mergeCell ref="D5:D6"/>
    <mergeCell ref="E5:F5"/>
  </mergeCells>
  <dataValidations count="1">
    <dataValidation allowBlank="1" showInputMessage="1" showErrorMessage="1" prompt="Chưa bao gồm bổ sung mục tiêu NS cấp dưới" sqref="D8" xr:uid="{00000000-0002-0000-0800-000000000000}"/>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6</vt:i4>
      </vt:variant>
    </vt:vector>
  </HeadingPairs>
  <TitlesOfParts>
    <vt:vector size="16" baseType="lpstr">
      <vt:lpstr>62_QT</vt:lpstr>
      <vt:lpstr>63_QT</vt:lpstr>
      <vt:lpstr>64_QT </vt:lpstr>
      <vt:lpstr>65_QT</vt:lpstr>
      <vt:lpstr>66_QT </vt:lpstr>
      <vt:lpstr>67_QT</vt:lpstr>
      <vt:lpstr>68_QT</vt:lpstr>
      <vt:lpstr>Bieu53_NQ83 HDND</vt:lpstr>
      <vt:lpstr>Bieu 52_NQ83 HDND</vt:lpstr>
      <vt:lpstr>Bieu 54_NQ83 HDND</vt:lpstr>
      <vt:lpstr>'65_QT'!Print_Area</vt:lpstr>
      <vt:lpstr>'68_QT'!Print_Area</vt:lpstr>
      <vt:lpstr>'63_QT'!Print_Titles</vt:lpstr>
      <vt:lpstr>'64_QT '!Print_Titles</vt:lpstr>
      <vt:lpstr>'65_QT'!Print_Titles</vt:lpstr>
      <vt:lpstr>'66_QT '!Print_Titles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2024-12-16T01:40:44Z</dcterms:modified>
</cp:coreProperties>
</file>